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TMG-fc00.edstokyotocho.onmicrosoft.com\sfs112-010\質量圧力計担当\21.その他\申請システム\申請シート\R6年度～\サンプル無し\"/>
    </mc:Choice>
  </mc:AlternateContent>
  <xr:revisionPtr revIDLastSave="0" documentId="13_ncr:1_{7E923161-F7BD-4F3A-8DBC-9D6563226F3C}" xr6:coauthVersionLast="47" xr6:coauthVersionMax="47" xr10:uidLastSave="{00000000-0000-0000-0000-000000000000}"/>
  <workbookProtection workbookAlgorithmName="SHA-512" workbookHashValue="WCWe2UnfRq1YHuL30CPSWjJI10HWN6sNXX58GPIF+CfzLOVR74G3cw3Mg1q7Av/gZF51KLVLb/618Qu1tb44rA==" workbookSaltValue="4mvn+X3qYTU8XSCd29sAtg==" workbookSpinCount="100000" lockStructure="1"/>
  <bookViews>
    <workbookView xWindow="-120" yWindow="-120" windowWidth="20730" windowHeight="11040" tabRatio="891" xr2:uid="{00000000-000D-0000-FFFF-FFFF00000000}"/>
  </bookViews>
  <sheets>
    <sheet name="申請者情報入力シート" sheetId="10" r:id="rId1"/>
    <sheet name="分銅情報入力シート" sheetId="21" r:id="rId2"/>
    <sheet name="料金" sheetId="20" state="hidden" r:id="rId3"/>
    <sheet name="集計シート" sheetId="22" state="hidden" r:id="rId4"/>
    <sheet name="入力フォーム" sheetId="26" state="hidden" r:id="rId5"/>
    <sheet name="JCSS_校正申請書" sheetId="18" r:id="rId6"/>
    <sheet name="JCSS_交付申請書" sheetId="19" r:id="rId7"/>
    <sheet name="JCSS_校正仕様確認書" sheetId="24" r:id="rId8"/>
    <sheet name="JCSS_校正依頼分銅確認表" sheetId="23" r:id="rId9"/>
    <sheet name="JCSS_校正依頼分銅確認表 (51-100)" sheetId="27"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5" i="24" l="1"/>
  <c r="F34" i="24"/>
  <c r="H14" i="19"/>
  <c r="G10" i="18"/>
  <c r="G13" i="18"/>
  <c r="I35" i="27"/>
  <c r="M33" i="27"/>
  <c r="I33" i="27"/>
  <c r="I31" i="27"/>
  <c r="K30" i="27"/>
  <c r="M29" i="27"/>
  <c r="M27" i="27"/>
  <c r="I27" i="27"/>
  <c r="M25" i="27"/>
  <c r="I25" i="27"/>
  <c r="I23" i="27"/>
  <c r="K22" i="27"/>
  <c r="M21" i="27"/>
  <c r="M19" i="27"/>
  <c r="I19" i="27"/>
  <c r="M17" i="27"/>
  <c r="I17" i="27"/>
  <c r="I15" i="27"/>
  <c r="K14" i="27"/>
  <c r="M13" i="27"/>
  <c r="E36" i="27"/>
  <c r="B36" i="27"/>
  <c r="E34" i="27"/>
  <c r="B34" i="27"/>
  <c r="B32" i="27"/>
  <c r="D31" i="27"/>
  <c r="E30" i="27"/>
  <c r="E28" i="27"/>
  <c r="B28" i="27"/>
  <c r="E26" i="27"/>
  <c r="B26" i="27"/>
  <c r="B24" i="27"/>
  <c r="D23" i="27"/>
  <c r="E22" i="27"/>
  <c r="E20" i="27"/>
  <c r="B20" i="27"/>
  <c r="E18" i="27"/>
  <c r="B18" i="27"/>
  <c r="B16" i="27"/>
  <c r="D15" i="27"/>
  <c r="E14" i="27"/>
  <c r="E12" i="27"/>
  <c r="D12" i="27"/>
  <c r="M35" i="23"/>
  <c r="I35" i="23"/>
  <c r="I33" i="23"/>
  <c r="K32" i="23"/>
  <c r="M31" i="23"/>
  <c r="M29" i="23"/>
  <c r="I29" i="23"/>
  <c r="M27" i="23"/>
  <c r="I27" i="23"/>
  <c r="I25" i="23"/>
  <c r="K24" i="23"/>
  <c r="M23" i="23"/>
  <c r="M21" i="23"/>
  <c r="I21" i="23"/>
  <c r="M19" i="23"/>
  <c r="I19" i="23"/>
  <c r="I17" i="23"/>
  <c r="AD91" i="22"/>
  <c r="AD87" i="22"/>
  <c r="AD85" i="22"/>
  <c r="AD83" i="22"/>
  <c r="AD79" i="22"/>
  <c r="AD77" i="22"/>
  <c r="AD75" i="22"/>
  <c r="AD71" i="22"/>
  <c r="AD69" i="22"/>
  <c r="AD67" i="22"/>
  <c r="AD48" i="22"/>
  <c r="AD61" i="22"/>
  <c r="AD59" i="22"/>
  <c r="AD55" i="22"/>
  <c r="AD53" i="22"/>
  <c r="AD51" i="22"/>
  <c r="AD47" i="22"/>
  <c r="AD45" i="22"/>
  <c r="AD43" i="22"/>
  <c r="AD39" i="22"/>
  <c r="AD37" i="22"/>
  <c r="AD35" i="22"/>
  <c r="AD24" i="22"/>
  <c r="AB101" i="22"/>
  <c r="AC100" i="22"/>
  <c r="AC99" i="22"/>
  <c r="AA99" i="22"/>
  <c r="AC97" i="22"/>
  <c r="AA97" i="22"/>
  <c r="AC96" i="22"/>
  <c r="AC95" i="22"/>
  <c r="AA95" i="22"/>
  <c r="AC93" i="22"/>
  <c r="AA93" i="22"/>
  <c r="AC92" i="22"/>
  <c r="AC91" i="22"/>
  <c r="AA91" i="22"/>
  <c r="AC89" i="22"/>
  <c r="AA89" i="22"/>
  <c r="AC88" i="22"/>
  <c r="AC87" i="22"/>
  <c r="AA87" i="22"/>
  <c r="AC85" i="22"/>
  <c r="AA85" i="22"/>
  <c r="AC84" i="22"/>
  <c r="AC83" i="22"/>
  <c r="AA83" i="22"/>
  <c r="AC81" i="22"/>
  <c r="AA81" i="22"/>
  <c r="AC80" i="22"/>
  <c r="AC79" i="22"/>
  <c r="AA79" i="22"/>
  <c r="AC77" i="22"/>
  <c r="AA77" i="22"/>
  <c r="AC76" i="22"/>
  <c r="AC75" i="22"/>
  <c r="AA75" i="22"/>
  <c r="AC73" i="22"/>
  <c r="AA73" i="22"/>
  <c r="AC72" i="22"/>
  <c r="AC71" i="22"/>
  <c r="AA71" i="22"/>
  <c r="AC69" i="22"/>
  <c r="AA69" i="22"/>
  <c r="AC68" i="22"/>
  <c r="AC67" i="22"/>
  <c r="AA67" i="22"/>
  <c r="AC65" i="22"/>
  <c r="AA65" i="22"/>
  <c r="AC64" i="22"/>
  <c r="AC63" i="22"/>
  <c r="AA63" i="22"/>
  <c r="AC61" i="22"/>
  <c r="AA61" i="22"/>
  <c r="AC60" i="22"/>
  <c r="AC59" i="22"/>
  <c r="AA59" i="22"/>
  <c r="AC57" i="22"/>
  <c r="AA57" i="22"/>
  <c r="AC56" i="22"/>
  <c r="AC55" i="22"/>
  <c r="AA55" i="22"/>
  <c r="AC53" i="22"/>
  <c r="AA53" i="22"/>
  <c r="AC52" i="22"/>
  <c r="AC51" i="22"/>
  <c r="AA51" i="22"/>
  <c r="AC49" i="22"/>
  <c r="AA49" i="22"/>
  <c r="AC48" i="22"/>
  <c r="AC47" i="22"/>
  <c r="AA47" i="22"/>
  <c r="AC45" i="22"/>
  <c r="AA45" i="22"/>
  <c r="AC44" i="22"/>
  <c r="AC43" i="22"/>
  <c r="AA43" i="22"/>
  <c r="AC41" i="22"/>
  <c r="AA41" i="22"/>
  <c r="AC40" i="22"/>
  <c r="AC39" i="22"/>
  <c r="AA39" i="22"/>
  <c r="AC37" i="22"/>
  <c r="AA37" i="22"/>
  <c r="AC36" i="22"/>
  <c r="AC35" i="22"/>
  <c r="AA35" i="22"/>
  <c r="AC33" i="22"/>
  <c r="AA33" i="22"/>
  <c r="AH102" i="22"/>
  <c r="AE102" i="22" s="1"/>
  <c r="AH101" i="22"/>
  <c r="K35" i="27" s="1"/>
  <c r="AH100" i="22"/>
  <c r="AE100" i="22" s="1"/>
  <c r="AH99" i="22"/>
  <c r="AD99" i="22" s="1"/>
  <c r="AH98" i="22"/>
  <c r="M32" i="27" s="1"/>
  <c r="AH97" i="22"/>
  <c r="AD97" i="22" s="1"/>
  <c r="AH96" i="22"/>
  <c r="I30" i="27" s="1"/>
  <c r="AH95" i="22"/>
  <c r="K29" i="27" s="1"/>
  <c r="AH94" i="22"/>
  <c r="AE94" i="22" s="1"/>
  <c r="AH93" i="22"/>
  <c r="K27" i="27" s="1"/>
  <c r="AH92" i="22"/>
  <c r="AD92" i="22" s="1"/>
  <c r="AH91" i="22"/>
  <c r="AE91" i="22" s="1"/>
  <c r="AH90" i="22"/>
  <c r="M24" i="27" s="1"/>
  <c r="AH89" i="22"/>
  <c r="M23" i="27" s="1"/>
  <c r="AH88" i="22"/>
  <c r="I22" i="27" s="1"/>
  <c r="AH87" i="22"/>
  <c r="K21" i="27" s="1"/>
  <c r="AH86" i="22"/>
  <c r="AE86" i="22" s="1"/>
  <c r="AH85" i="22"/>
  <c r="K19" i="27" s="1"/>
  <c r="AH84" i="22"/>
  <c r="AD84" i="22" s="1"/>
  <c r="AH83" i="22"/>
  <c r="AE83" i="22" s="1"/>
  <c r="AH82" i="22"/>
  <c r="M16" i="27" s="1"/>
  <c r="AH81" i="22"/>
  <c r="M15" i="27" s="1"/>
  <c r="AH80" i="22"/>
  <c r="I14" i="27" s="1"/>
  <c r="AH79" i="22"/>
  <c r="K13" i="27" s="1"/>
  <c r="AH78" i="22"/>
  <c r="AE78" i="22" s="1"/>
  <c r="AH77" i="22"/>
  <c r="D36" i="27" s="1"/>
  <c r="AH76" i="22"/>
  <c r="AD76" i="22" s="1"/>
  <c r="AH75" i="22"/>
  <c r="AE75" i="22" s="1"/>
  <c r="AH74" i="22"/>
  <c r="E33" i="27" s="1"/>
  <c r="AH73" i="22"/>
  <c r="E32" i="27" s="1"/>
  <c r="AH72" i="22"/>
  <c r="B31" i="27" s="1"/>
  <c r="AH71" i="22"/>
  <c r="D30" i="27" s="1"/>
  <c r="AH70" i="22"/>
  <c r="AE70" i="22" s="1"/>
  <c r="AH69" i="22"/>
  <c r="D28" i="27" s="1"/>
  <c r="AH68" i="22"/>
  <c r="AD68" i="22" s="1"/>
  <c r="AH67" i="22"/>
  <c r="AE67" i="22" s="1"/>
  <c r="AH66" i="22"/>
  <c r="E25" i="27" s="1"/>
  <c r="AH65" i="22"/>
  <c r="E24" i="27" s="1"/>
  <c r="AH64" i="22"/>
  <c r="B23" i="27" s="1"/>
  <c r="AH63" i="22"/>
  <c r="D22" i="27" s="1"/>
  <c r="AH62" i="22"/>
  <c r="AE62" i="22" s="1"/>
  <c r="AH61" i="22"/>
  <c r="D20" i="27" s="1"/>
  <c r="AH60" i="22"/>
  <c r="AD60" i="22" s="1"/>
  <c r="AH59" i="22"/>
  <c r="AE59" i="22" s="1"/>
  <c r="AH58" i="22"/>
  <c r="E17" i="27" s="1"/>
  <c r="AH57" i="22"/>
  <c r="E16" i="27" s="1"/>
  <c r="AH56" i="22"/>
  <c r="B15" i="27" s="1"/>
  <c r="AH55" i="22"/>
  <c r="D14" i="27" s="1"/>
  <c r="AH54" i="22"/>
  <c r="AE54" i="22" s="1"/>
  <c r="AH53" i="22"/>
  <c r="B12" i="27" s="1"/>
  <c r="AH52" i="22"/>
  <c r="M36" i="23" s="1"/>
  <c r="AH51" i="22"/>
  <c r="AE51" i="22" s="1"/>
  <c r="AH50" i="22"/>
  <c r="M34" i="23" s="1"/>
  <c r="AH49" i="22"/>
  <c r="M33" i="23" s="1"/>
  <c r="AH48" i="22"/>
  <c r="I32" i="23" s="1"/>
  <c r="AH47" i="22"/>
  <c r="K31" i="23" s="1"/>
  <c r="AH46" i="22"/>
  <c r="AE46" i="22" s="1"/>
  <c r="AH45" i="22"/>
  <c r="K29" i="23" s="1"/>
  <c r="AH44" i="22"/>
  <c r="AD44" i="22" s="1"/>
  <c r="AH43" i="22"/>
  <c r="AE43" i="22" s="1"/>
  <c r="AH42" i="22"/>
  <c r="M26" i="23" s="1"/>
  <c r="AH41" i="22"/>
  <c r="M25" i="23" s="1"/>
  <c r="AH40" i="22"/>
  <c r="I24" i="23" s="1"/>
  <c r="AH39" i="22"/>
  <c r="K23" i="23" s="1"/>
  <c r="AH38" i="22"/>
  <c r="AE38" i="22" s="1"/>
  <c r="AH37" i="22"/>
  <c r="K21" i="23" s="1"/>
  <c r="AH36" i="22"/>
  <c r="AD36" i="22" s="1"/>
  <c r="AH35" i="22"/>
  <c r="AE35" i="22" s="1"/>
  <c r="AH34" i="22"/>
  <c r="M18" i="23" s="1"/>
  <c r="AH33" i="22"/>
  <c r="M17" i="23" s="1"/>
  <c r="AH32" i="22"/>
  <c r="AH31" i="22"/>
  <c r="AH30" i="22"/>
  <c r="AH29" i="22"/>
  <c r="AH28" i="22"/>
  <c r="AB28" i="22" s="1"/>
  <c r="AH27" i="22"/>
  <c r="AH26" i="22"/>
  <c r="AE26" i="22" s="1"/>
  <c r="AH25" i="22"/>
  <c r="AH24" i="22"/>
  <c r="AB24" i="22" s="1"/>
  <c r="AH23" i="22"/>
  <c r="AB23" i="22" s="1"/>
  <c r="AH22" i="22"/>
  <c r="AH21" i="22"/>
  <c r="AB21" i="22" s="1"/>
  <c r="AH20" i="22"/>
  <c r="AH19" i="22"/>
  <c r="AB19" i="22" s="1"/>
  <c r="AH18" i="22"/>
  <c r="AB18" i="22" s="1"/>
  <c r="AH17" i="22"/>
  <c r="AH16" i="22"/>
  <c r="AH15" i="22"/>
  <c r="AC15" i="22" s="1"/>
  <c r="AH14" i="22"/>
  <c r="AH13" i="22"/>
  <c r="AC13" i="22" s="1"/>
  <c r="AH12" i="22"/>
  <c r="AH11" i="22"/>
  <c r="AC11" i="22" s="1"/>
  <c r="AH10" i="22"/>
  <c r="AH9" i="22"/>
  <c r="AC9" i="22" s="1"/>
  <c r="AH8" i="22"/>
  <c r="AH7" i="22"/>
  <c r="AC7" i="22" s="1"/>
  <c r="AH6" i="22"/>
  <c r="AH5" i="22"/>
  <c r="AC5" i="22" s="1"/>
  <c r="AH4" i="22"/>
  <c r="AH3" i="22"/>
  <c r="AC3" i="22" s="1"/>
  <c r="AD78" i="22" l="1"/>
  <c r="AD100" i="22"/>
  <c r="AB33" i="22"/>
  <c r="AB35" i="22"/>
  <c r="AB37" i="22"/>
  <c r="AB39" i="22"/>
  <c r="AB41" i="22"/>
  <c r="AB43" i="22"/>
  <c r="AB45" i="22"/>
  <c r="AB47" i="22"/>
  <c r="AB49" i="22"/>
  <c r="AB51" i="22"/>
  <c r="AB53" i="22"/>
  <c r="AB55" i="22"/>
  <c r="AB57" i="22"/>
  <c r="AB59" i="22"/>
  <c r="AB61" i="22"/>
  <c r="AB63" i="22"/>
  <c r="AB65" i="22"/>
  <c r="AB67" i="22"/>
  <c r="AB69" i="22"/>
  <c r="AB71" i="22"/>
  <c r="AB73" i="22"/>
  <c r="AB75" i="22"/>
  <c r="AB77" i="22"/>
  <c r="AB79" i="22"/>
  <c r="AB81" i="22"/>
  <c r="AB83" i="22"/>
  <c r="AB85" i="22"/>
  <c r="AB87" i="22"/>
  <c r="AB89" i="22"/>
  <c r="AB91" i="22"/>
  <c r="AB93" i="22"/>
  <c r="AB95" i="22"/>
  <c r="AB97" i="22"/>
  <c r="AB99" i="22"/>
  <c r="AE101" i="22"/>
  <c r="AD38" i="22"/>
  <c r="AD46" i="22"/>
  <c r="AD54" i="22"/>
  <c r="AD62" i="22"/>
  <c r="AD70" i="22"/>
  <c r="AD63" i="22"/>
  <c r="AD86" i="22"/>
  <c r="AD93" i="22"/>
  <c r="AD101" i="22"/>
  <c r="K19" i="23"/>
  <c r="I22" i="23"/>
  <c r="M24" i="23"/>
  <c r="K27" i="23"/>
  <c r="I30" i="23"/>
  <c r="M32" i="23"/>
  <c r="K35" i="23"/>
  <c r="B13" i="27"/>
  <c r="E15" i="27"/>
  <c r="D18" i="27"/>
  <c r="B21" i="27"/>
  <c r="E23" i="27"/>
  <c r="D26" i="27"/>
  <c r="B29" i="27"/>
  <c r="E31" i="27"/>
  <c r="D34" i="27"/>
  <c r="I12" i="27"/>
  <c r="M14" i="27"/>
  <c r="K17" i="27"/>
  <c r="I20" i="27"/>
  <c r="M22" i="27"/>
  <c r="K25" i="27"/>
  <c r="I28" i="27"/>
  <c r="M30" i="27"/>
  <c r="K33" i="27"/>
  <c r="AD94" i="22"/>
  <c r="K22" i="23"/>
  <c r="K30" i="23"/>
  <c r="D13" i="27"/>
  <c r="D21" i="27"/>
  <c r="D29" i="27"/>
  <c r="K12" i="27"/>
  <c r="K20" i="27"/>
  <c r="K28" i="27"/>
  <c r="AE33" i="22"/>
  <c r="AE37" i="22"/>
  <c r="AE39" i="22"/>
  <c r="AE41" i="22"/>
  <c r="AE45" i="22"/>
  <c r="AE47" i="22"/>
  <c r="AE49" i="22"/>
  <c r="AE53" i="22"/>
  <c r="AE55" i="22"/>
  <c r="AE57" i="22"/>
  <c r="AE61" i="22"/>
  <c r="AE63" i="22"/>
  <c r="AE65" i="22"/>
  <c r="AE69" i="22"/>
  <c r="AE71" i="22"/>
  <c r="AE73" i="22"/>
  <c r="AE77" i="22"/>
  <c r="AE79" i="22"/>
  <c r="AE81" i="22"/>
  <c r="AE85" i="22"/>
  <c r="AE87" i="22"/>
  <c r="AE89" i="22"/>
  <c r="AE93" i="22"/>
  <c r="AE95" i="22"/>
  <c r="AE97" i="22"/>
  <c r="AE99" i="22"/>
  <c r="AD26" i="22"/>
  <c r="AD40" i="22"/>
  <c r="AD33" i="22"/>
  <c r="AD56" i="22"/>
  <c r="AD64" i="22"/>
  <c r="AD72" i="22"/>
  <c r="AD80" i="22"/>
  <c r="AD88" i="22"/>
  <c r="AD95" i="22"/>
  <c r="K17" i="23"/>
  <c r="I20" i="23"/>
  <c r="M22" i="23"/>
  <c r="K25" i="23"/>
  <c r="I28" i="23"/>
  <c r="M30" i="23"/>
  <c r="K33" i="23"/>
  <c r="I36" i="23"/>
  <c r="E13" i="27"/>
  <c r="D16" i="27"/>
  <c r="B19" i="27"/>
  <c r="E21" i="27"/>
  <c r="D24" i="27"/>
  <c r="B27" i="27"/>
  <c r="E29" i="27"/>
  <c r="D32" i="27"/>
  <c r="B35" i="27"/>
  <c r="M12" i="27"/>
  <c r="K15" i="27"/>
  <c r="I18" i="27"/>
  <c r="M20" i="27"/>
  <c r="K23" i="27"/>
  <c r="I26" i="27"/>
  <c r="M28" i="27"/>
  <c r="K31" i="27"/>
  <c r="I34" i="27"/>
  <c r="AA34" i="22"/>
  <c r="AA36" i="22"/>
  <c r="AA38" i="22"/>
  <c r="AG38" i="22" s="1"/>
  <c r="AA40" i="22"/>
  <c r="AA42" i="22"/>
  <c r="AA44" i="22"/>
  <c r="AA46" i="22"/>
  <c r="AA48" i="22"/>
  <c r="AA50" i="22"/>
  <c r="AA52" i="22"/>
  <c r="AA54" i="22"/>
  <c r="AG54" i="22" s="1"/>
  <c r="AA56" i="22"/>
  <c r="AA58" i="22"/>
  <c r="AA60" i="22"/>
  <c r="AA62" i="22"/>
  <c r="AA64" i="22"/>
  <c r="AA66" i="22"/>
  <c r="AA68" i="22"/>
  <c r="AA70" i="22"/>
  <c r="AG70" i="22" s="1"/>
  <c r="AA72" i="22"/>
  <c r="AA74" i="22"/>
  <c r="AA76" i="22"/>
  <c r="AA78" i="22"/>
  <c r="AA80" i="22"/>
  <c r="AA82" i="22"/>
  <c r="AA84" i="22"/>
  <c r="AA86" i="22"/>
  <c r="AG86" i="22" s="1"/>
  <c r="AA88" i="22"/>
  <c r="AA90" i="22"/>
  <c r="AA92" i="22"/>
  <c r="AA94" i="22"/>
  <c r="AA96" i="22"/>
  <c r="AA98" i="22"/>
  <c r="AA100" i="22"/>
  <c r="AD28" i="22"/>
  <c r="M12" i="23" s="1"/>
  <c r="AD41" i="22"/>
  <c r="AD49" i="22"/>
  <c r="AD57" i="22"/>
  <c r="AD65" i="22"/>
  <c r="AD73" i="22"/>
  <c r="AD81" i="22"/>
  <c r="AD89" i="22"/>
  <c r="AD96" i="22"/>
  <c r="K20" i="23"/>
  <c r="I23" i="23"/>
  <c r="K28" i="23"/>
  <c r="I31" i="23"/>
  <c r="B14" i="27"/>
  <c r="D19" i="27"/>
  <c r="B22" i="27"/>
  <c r="D27" i="27"/>
  <c r="B30" i="27"/>
  <c r="D35" i="27"/>
  <c r="I13" i="27"/>
  <c r="K18" i="27"/>
  <c r="I21" i="27"/>
  <c r="K26" i="27"/>
  <c r="I29" i="27"/>
  <c r="M31" i="27"/>
  <c r="K34" i="27"/>
  <c r="AB34" i="22"/>
  <c r="AB36" i="22"/>
  <c r="AB38" i="22"/>
  <c r="AB40" i="22"/>
  <c r="AB42" i="22"/>
  <c r="AB44" i="22"/>
  <c r="AB46" i="22"/>
  <c r="AB48" i="22"/>
  <c r="AB50" i="22"/>
  <c r="AB52" i="22"/>
  <c r="AB54" i="22"/>
  <c r="AB56" i="22"/>
  <c r="AB58" i="22"/>
  <c r="AB60" i="22"/>
  <c r="AB62" i="22"/>
  <c r="AB64" i="22"/>
  <c r="AB66" i="22"/>
  <c r="AB68" i="22"/>
  <c r="AB70" i="22"/>
  <c r="AB72" i="22"/>
  <c r="AB74" i="22"/>
  <c r="AB76" i="22"/>
  <c r="AB78" i="22"/>
  <c r="AB80" i="22"/>
  <c r="AB82" i="22"/>
  <c r="AB84" i="22"/>
  <c r="AB86" i="22"/>
  <c r="AB88" i="22"/>
  <c r="AB90" i="22"/>
  <c r="AB92" i="22"/>
  <c r="AB94" i="22"/>
  <c r="AB96" i="22"/>
  <c r="AB98" i="22"/>
  <c r="AB100" i="22"/>
  <c r="AD34" i="22"/>
  <c r="AD42" i="22"/>
  <c r="AD50" i="22"/>
  <c r="AD58" i="22"/>
  <c r="AD66" i="22"/>
  <c r="AD74" i="22"/>
  <c r="AD82" i="22"/>
  <c r="AD90" i="22"/>
  <c r="I18" i="23"/>
  <c r="M20" i="23"/>
  <c r="I26" i="23"/>
  <c r="M28" i="23"/>
  <c r="I34" i="23"/>
  <c r="K36" i="23"/>
  <c r="B17" i="27"/>
  <c r="E19" i="27"/>
  <c r="B25" i="27"/>
  <c r="E27" i="27"/>
  <c r="B33" i="27"/>
  <c r="E35" i="27"/>
  <c r="I16" i="27"/>
  <c r="M18" i="27"/>
  <c r="I24" i="27"/>
  <c r="M26" i="27"/>
  <c r="I32" i="27"/>
  <c r="M34" i="27"/>
  <c r="AC34" i="22"/>
  <c r="AC38" i="22"/>
  <c r="AC42" i="22"/>
  <c r="AC46" i="22"/>
  <c r="AC50" i="22"/>
  <c r="AC54" i="22"/>
  <c r="AC58" i="22"/>
  <c r="AC62" i="22"/>
  <c r="AC66" i="22"/>
  <c r="AC70" i="22"/>
  <c r="AC74" i="22"/>
  <c r="AC78" i="22"/>
  <c r="AC82" i="22"/>
  <c r="AC86" i="22"/>
  <c r="AC90" i="22"/>
  <c r="AC94" i="22"/>
  <c r="AC98" i="22"/>
  <c r="AD98" i="22"/>
  <c r="K18" i="23"/>
  <c r="K26" i="23"/>
  <c r="K34" i="23"/>
  <c r="D17" i="27"/>
  <c r="D25" i="27"/>
  <c r="D33" i="27"/>
  <c r="K16" i="27"/>
  <c r="K24" i="27"/>
  <c r="K32" i="27"/>
  <c r="AE34" i="22"/>
  <c r="AE36" i="22"/>
  <c r="AE40" i="22"/>
  <c r="AE42" i="22"/>
  <c r="AE44" i="22"/>
  <c r="AE48" i="22"/>
  <c r="AE50" i="22"/>
  <c r="AE52" i="22"/>
  <c r="AE56" i="22"/>
  <c r="AE58" i="22"/>
  <c r="AE60" i="22"/>
  <c r="AE64" i="22"/>
  <c r="AE66" i="22"/>
  <c r="AE68" i="22"/>
  <c r="AE72" i="22"/>
  <c r="AE74" i="22"/>
  <c r="AE76" i="22"/>
  <c r="AE80" i="22"/>
  <c r="AE82" i="22"/>
  <c r="AE84" i="22"/>
  <c r="AE88" i="22"/>
  <c r="AE90" i="22"/>
  <c r="AE92" i="22"/>
  <c r="AE96" i="22"/>
  <c r="AE98" i="22"/>
  <c r="AD52" i="22"/>
  <c r="M35" i="27"/>
  <c r="AB32" i="22"/>
  <c r="AE32" i="22"/>
  <c r="AD32" i="22"/>
  <c r="M16" i="23" s="1"/>
  <c r="AB30" i="22"/>
  <c r="AE30" i="22"/>
  <c r="I14" i="23" s="1"/>
  <c r="AD30" i="22"/>
  <c r="M14" i="23" s="1"/>
  <c r="AE28" i="22"/>
  <c r="E35" i="23"/>
  <c r="AB26" i="22"/>
  <c r="E33" i="23"/>
  <c r="AE24" i="22"/>
  <c r="AE22" i="22"/>
  <c r="AD22" i="22"/>
  <c r="E31" i="23" s="1"/>
  <c r="AB22" i="22"/>
  <c r="AB20" i="22"/>
  <c r="AD20" i="22"/>
  <c r="E29" i="23" s="1"/>
  <c r="AE20" i="22"/>
  <c r="AE18" i="22"/>
  <c r="AC16" i="22"/>
  <c r="B25" i="23" s="1"/>
  <c r="AA16" i="22"/>
  <c r="AC14" i="22"/>
  <c r="AA14" i="22"/>
  <c r="AC12" i="22"/>
  <c r="AA12" i="22"/>
  <c r="AC10" i="22"/>
  <c r="AA10" i="22"/>
  <c r="AC8" i="22"/>
  <c r="B17" i="23" s="1"/>
  <c r="AA8" i="22"/>
  <c r="AC6" i="22"/>
  <c r="AA6" i="22"/>
  <c r="AC4" i="22"/>
  <c r="AA4" i="22"/>
  <c r="D13" i="23" s="1"/>
  <c r="K36" i="27"/>
  <c r="AA101" i="22"/>
  <c r="AG101" i="22" s="1"/>
  <c r="AC101" i="22"/>
  <c r="AD102" i="22"/>
  <c r="I36" i="27"/>
  <c r="M36" i="27"/>
  <c r="AD19" i="22"/>
  <c r="E28" i="23" s="1"/>
  <c r="AC19" i="22"/>
  <c r="AA19" i="22"/>
  <c r="AG19" i="22" s="1"/>
  <c r="AD21" i="22"/>
  <c r="E30" i="23" s="1"/>
  <c r="AC21" i="22"/>
  <c r="AA21" i="22"/>
  <c r="AG21" i="22" s="1"/>
  <c r="D32" i="23"/>
  <c r="AD23" i="22"/>
  <c r="E32" i="23" s="1"/>
  <c r="AC23" i="22"/>
  <c r="AA23" i="22"/>
  <c r="AG23" i="22" s="1"/>
  <c r="AE23" i="22"/>
  <c r="AD25" i="22"/>
  <c r="E34" i="23" s="1"/>
  <c r="AC25" i="22"/>
  <c r="AA25" i="22"/>
  <c r="AE25" i="22"/>
  <c r="AB25" i="22"/>
  <c r="D34" i="23" s="1"/>
  <c r="AD27" i="22"/>
  <c r="E36" i="23" s="1"/>
  <c r="AC27" i="22"/>
  <c r="AA27" i="22"/>
  <c r="AG27" i="22" s="1"/>
  <c r="AE27" i="22"/>
  <c r="B36" i="23" s="1"/>
  <c r="AB27" i="22"/>
  <c r="AD29" i="22"/>
  <c r="AC29" i="22"/>
  <c r="I13" i="23" s="1"/>
  <c r="AA29" i="22"/>
  <c r="M13" i="23"/>
  <c r="AE29" i="22"/>
  <c r="AB29" i="22"/>
  <c r="K13" i="23" s="1"/>
  <c r="AD31" i="22"/>
  <c r="M15" i="23" s="1"/>
  <c r="AC31" i="22"/>
  <c r="AA31" i="22"/>
  <c r="AE31" i="22"/>
  <c r="AB31" i="22"/>
  <c r="K15" i="23" s="1"/>
  <c r="AE19" i="22"/>
  <c r="AE21" i="22"/>
  <c r="B30" i="23" s="1"/>
  <c r="AA18" i="22"/>
  <c r="D27" i="23" s="1"/>
  <c r="AC18" i="22"/>
  <c r="AA20" i="22"/>
  <c r="D29" i="23" s="1"/>
  <c r="AC20" i="22"/>
  <c r="AA22" i="22"/>
  <c r="D31" i="23" s="1"/>
  <c r="AC22" i="22"/>
  <c r="AA24" i="22"/>
  <c r="D33" i="23" s="1"/>
  <c r="AC24" i="22"/>
  <c r="AA26" i="22"/>
  <c r="D35" i="23" s="1"/>
  <c r="AC26" i="22"/>
  <c r="B35" i="23" s="1"/>
  <c r="AA28" i="22"/>
  <c r="K12" i="23" s="1"/>
  <c r="AC28" i="22"/>
  <c r="AA30" i="22"/>
  <c r="K14" i="23" s="1"/>
  <c r="AC30" i="22"/>
  <c r="AA32" i="22"/>
  <c r="K16" i="23" s="1"/>
  <c r="AC32" i="22"/>
  <c r="AD18" i="22"/>
  <c r="E27" i="23" s="1"/>
  <c r="B27" i="23"/>
  <c r="B33" i="23"/>
  <c r="I12" i="23"/>
  <c r="AE3" i="22"/>
  <c r="B12" i="23" s="1"/>
  <c r="AB3" i="22"/>
  <c r="AD3" i="22"/>
  <c r="E12" i="23" s="1"/>
  <c r="AE5" i="22"/>
  <c r="B14" i="23" s="1"/>
  <c r="AB5" i="22"/>
  <c r="AD5" i="22"/>
  <c r="E14" i="23" s="1"/>
  <c r="AE7" i="22"/>
  <c r="B16" i="23" s="1"/>
  <c r="AB7" i="22"/>
  <c r="AD7" i="22"/>
  <c r="E16" i="23" s="1"/>
  <c r="AE9" i="22"/>
  <c r="B18" i="23" s="1"/>
  <c r="AB9" i="22"/>
  <c r="D18" i="23" s="1"/>
  <c r="AD9" i="22"/>
  <c r="E18" i="23" s="1"/>
  <c r="AE11" i="22"/>
  <c r="B20" i="23" s="1"/>
  <c r="AB11" i="22"/>
  <c r="AD11" i="22"/>
  <c r="E20" i="23" s="1"/>
  <c r="AE13" i="22"/>
  <c r="B22" i="23" s="1"/>
  <c r="AB13" i="22"/>
  <c r="AD13" i="22"/>
  <c r="E22" i="23" s="1"/>
  <c r="AE15" i="22"/>
  <c r="B24" i="23" s="1"/>
  <c r="AB15" i="22"/>
  <c r="AD15" i="22"/>
  <c r="E24" i="23" s="1"/>
  <c r="AE17" i="22"/>
  <c r="AB17" i="22"/>
  <c r="AD17" i="22"/>
  <c r="E26" i="23" s="1"/>
  <c r="AC17" i="22"/>
  <c r="B26" i="23" s="1"/>
  <c r="AA17" i="22"/>
  <c r="AA3" i="22"/>
  <c r="D12" i="23" s="1"/>
  <c r="AA5" i="22"/>
  <c r="AA7" i="22"/>
  <c r="D16" i="23" s="1"/>
  <c r="AA9" i="22"/>
  <c r="AA11" i="22"/>
  <c r="AG11" i="22" s="1"/>
  <c r="AA13" i="22"/>
  <c r="AG13" i="22" s="1"/>
  <c r="AA15" i="22"/>
  <c r="AB4" i="22"/>
  <c r="AE4" i="22"/>
  <c r="AB6" i="22"/>
  <c r="D15" i="23" s="1"/>
  <c r="AE6" i="22"/>
  <c r="AB8" i="22"/>
  <c r="AE8" i="22"/>
  <c r="AB10" i="22"/>
  <c r="AE10" i="22"/>
  <c r="AB12" i="22"/>
  <c r="AE12" i="22"/>
  <c r="AB14" i="22"/>
  <c r="D23" i="23" s="1"/>
  <c r="AE14" i="22"/>
  <c r="B23" i="23" s="1"/>
  <c r="AB16" i="22"/>
  <c r="D25" i="23" s="1"/>
  <c r="AE16" i="22"/>
  <c r="AD4" i="22"/>
  <c r="E13" i="23" s="1"/>
  <c r="AD6" i="22"/>
  <c r="E15" i="23" s="1"/>
  <c r="AD8" i="22"/>
  <c r="E17" i="23" s="1"/>
  <c r="AD10" i="22"/>
  <c r="E19" i="23" s="1"/>
  <c r="AD12" i="22"/>
  <c r="E21" i="23" s="1"/>
  <c r="AD14" i="22"/>
  <c r="E23" i="23" s="1"/>
  <c r="AD16" i="22"/>
  <c r="E25" i="23" s="1"/>
  <c r="B13" i="23"/>
  <c r="B19" i="23"/>
  <c r="AB102" i="22"/>
  <c r="AA102" i="22"/>
  <c r="AC102" i="22"/>
  <c r="AG102" i="22"/>
  <c r="AG100" i="22"/>
  <c r="AG99" i="22"/>
  <c r="AG98" i="22"/>
  <c r="AG97" i="22"/>
  <c r="AG96" i="22"/>
  <c r="AG95" i="22"/>
  <c r="AG94" i="22"/>
  <c r="AG93" i="22"/>
  <c r="AG92" i="22"/>
  <c r="AG91" i="22"/>
  <c r="AG90" i="22"/>
  <c r="AG89" i="22"/>
  <c r="AG88" i="22"/>
  <c r="AG87" i="22"/>
  <c r="AG85" i="22"/>
  <c r="AG84" i="22"/>
  <c r="AG83" i="22"/>
  <c r="AG82" i="22"/>
  <c r="AG81" i="22"/>
  <c r="AG80" i="22"/>
  <c r="AG79" i="22"/>
  <c r="AG78" i="22"/>
  <c r="AG77" i="22"/>
  <c r="AG76" i="22"/>
  <c r="AG75" i="22"/>
  <c r="AG74" i="22"/>
  <c r="AG73" i="22"/>
  <c r="AG72" i="22"/>
  <c r="AG71" i="22"/>
  <c r="AG69" i="22"/>
  <c r="AG68" i="22"/>
  <c r="AG67" i="22"/>
  <c r="AG66" i="22"/>
  <c r="AG65" i="22"/>
  <c r="AG64" i="22"/>
  <c r="AG63" i="22"/>
  <c r="AG62" i="22"/>
  <c r="AG61" i="22"/>
  <c r="AG60" i="22"/>
  <c r="AG59" i="22"/>
  <c r="AG58" i="22"/>
  <c r="AG57" i="22"/>
  <c r="AG56" i="22"/>
  <c r="AG55" i="22"/>
  <c r="AG53" i="22"/>
  <c r="AG52" i="22"/>
  <c r="AG51" i="22"/>
  <c r="AG50" i="22"/>
  <c r="AG49" i="22"/>
  <c r="AG48" i="22"/>
  <c r="AG47" i="22"/>
  <c r="AG46" i="22"/>
  <c r="AG45" i="22"/>
  <c r="AG44" i="22"/>
  <c r="AG43" i="22"/>
  <c r="AG42" i="22"/>
  <c r="AG41" i="22"/>
  <c r="AG40" i="22"/>
  <c r="AG39" i="22"/>
  <c r="AG37" i="22"/>
  <c r="AG36" i="22"/>
  <c r="AG35" i="22"/>
  <c r="AG34" i="22"/>
  <c r="AG33" i="22"/>
  <c r="AG31" i="22"/>
  <c r="AG25" i="22"/>
  <c r="AG20" i="22"/>
  <c r="AG12" i="22"/>
  <c r="AG8" i="22"/>
  <c r="AG7" i="22"/>
  <c r="AG6" i="22"/>
  <c r="AG4" i="22"/>
  <c r="AG3" i="22"/>
  <c r="AG22" i="22" l="1"/>
  <c r="AG24" i="22"/>
  <c r="AG15" i="22"/>
  <c r="AG10" i="22"/>
  <c r="AG30" i="22"/>
  <c r="AG29" i="22"/>
  <c r="B31" i="23"/>
  <c r="D21" i="23"/>
  <c r="AG26" i="22"/>
  <c r="B21" i="23"/>
  <c r="AG32" i="22"/>
  <c r="AG18" i="22"/>
  <c r="D24" i="23"/>
  <c r="D14" i="23"/>
  <c r="D36" i="23"/>
  <c r="B15" i="23"/>
  <c r="D17" i="23"/>
  <c r="I16" i="23"/>
  <c r="I15" i="23"/>
  <c r="B34" i="23"/>
  <c r="B32" i="23"/>
  <c r="AG28" i="22"/>
  <c r="D30" i="23"/>
  <c r="B29" i="23"/>
  <c r="B28" i="23"/>
  <c r="D28" i="23"/>
  <c r="D26" i="23"/>
  <c r="AG17" i="22"/>
  <c r="D22" i="23"/>
  <c r="AG14" i="22"/>
  <c r="AG16" i="22"/>
  <c r="D20" i="23"/>
  <c r="AG9" i="22"/>
  <c r="D19" i="23"/>
  <c r="AG5" i="22"/>
  <c r="D8" i="27" l="1"/>
  <c r="D8" i="23"/>
  <c r="D4" i="27" l="1"/>
  <c r="D4" i="23"/>
  <c r="G12" i="18" l="1"/>
  <c r="F36" i="24" l="1"/>
  <c r="H13" i="19"/>
  <c r="H11" i="19"/>
  <c r="G15" i="18"/>
  <c r="G80" i="27"/>
  <c r="G70" i="27"/>
  <c r="K6" i="27"/>
  <c r="D6" i="27"/>
  <c r="Y10" i="26" l="1"/>
  <c r="Y9" i="26"/>
  <c r="Y8" i="26"/>
  <c r="Y7" i="26"/>
  <c r="Y6" i="26"/>
  <c r="Y5" i="26"/>
  <c r="AG145" i="22" l="1"/>
  <c r="AG144" i="22"/>
  <c r="AG143" i="22"/>
  <c r="AG142" i="22"/>
  <c r="AG141" i="22"/>
  <c r="AG140" i="22"/>
  <c r="AG139" i="22"/>
  <c r="AG138" i="22"/>
  <c r="AG137" i="22"/>
  <c r="K124" i="22" l="1"/>
  <c r="K88" i="22"/>
  <c r="F113" i="22" l="1"/>
  <c r="E113" i="22"/>
  <c r="C113" i="22"/>
  <c r="K113" i="22"/>
  <c r="B113" i="22"/>
  <c r="B1" i="22"/>
  <c r="D5" i="27" s="1"/>
  <c r="B120" i="22" l="1"/>
  <c r="B118" i="22"/>
  <c r="B116" i="22"/>
  <c r="B119" i="22"/>
  <c r="B117" i="22"/>
  <c r="B115" i="22"/>
  <c r="K117" i="22"/>
  <c r="K115" i="22"/>
  <c r="K116" i="22"/>
  <c r="M117" i="22"/>
  <c r="M115" i="22"/>
  <c r="M116" i="22"/>
  <c r="D115" i="22"/>
  <c r="N116" i="22"/>
  <c r="N117" i="22"/>
  <c r="N115" i="22"/>
  <c r="D119" i="22"/>
  <c r="E116" i="22"/>
  <c r="E118" i="22"/>
  <c r="E120" i="22"/>
  <c r="E115" i="22"/>
  <c r="E117" i="22"/>
  <c r="E119" i="22"/>
  <c r="D116" i="22"/>
  <c r="D118" i="22"/>
  <c r="D120" i="22"/>
  <c r="D117" i="22"/>
  <c r="F37" i="24" l="1"/>
  <c r="H15" i="19" l="1"/>
  <c r="G80" i="23"/>
  <c r="G70" i="23"/>
  <c r="K6" i="23"/>
  <c r="D6" i="23"/>
  <c r="F39" i="24"/>
  <c r="D5" i="23" l="1"/>
  <c r="I8" i="18" l="1"/>
  <c r="F104" i="22" l="1"/>
  <c r="F102" i="22"/>
  <c r="F100" i="22"/>
  <c r="F98" i="22"/>
  <c r="F103" i="22"/>
  <c r="F101" i="22"/>
  <c r="F99" i="22"/>
  <c r="G22" i="19"/>
  <c r="H22" i="19" s="1"/>
  <c r="H32" i="19" s="1"/>
  <c r="E106" i="22" l="1"/>
  <c r="J41" i="27" s="1"/>
  <c r="D22" i="19"/>
  <c r="V85" i="22"/>
  <c r="V84" i="22"/>
  <c r="V83" i="22"/>
  <c r="V82" i="22"/>
  <c r="B66" i="22"/>
  <c r="J41" i="23" l="1"/>
  <c r="E74" i="22"/>
  <c r="G120" i="22" s="1"/>
  <c r="E72" i="22"/>
  <c r="G118" i="22" s="1"/>
  <c r="E71" i="22"/>
  <c r="G117" i="22" s="1"/>
  <c r="N70" i="22"/>
  <c r="P116" i="22" s="1"/>
  <c r="U69" i="22"/>
  <c r="E69" i="22"/>
  <c r="G115" i="22" s="1"/>
  <c r="E73" i="22"/>
  <c r="G119" i="22" s="1"/>
  <c r="N71" i="22"/>
  <c r="P117" i="22" s="1"/>
  <c r="U70" i="22"/>
  <c r="E70" i="22"/>
  <c r="G116" i="22" s="1"/>
  <c r="N69" i="22"/>
  <c r="F22" i="19" l="1"/>
  <c r="P115" i="22"/>
  <c r="N104" i="22"/>
  <c r="L104" i="22"/>
  <c r="N103" i="22"/>
  <c r="L103" i="22"/>
  <c r="N102" i="22"/>
  <c r="L102" i="22"/>
  <c r="N101" i="22"/>
  <c r="L101" i="22"/>
  <c r="C100" i="22"/>
  <c r="N100" i="22"/>
  <c r="L100" i="22"/>
  <c r="N99" i="22"/>
  <c r="L99" i="22"/>
  <c r="N98" i="22"/>
  <c r="L98" i="22"/>
  <c r="C98" i="22"/>
  <c r="M104" i="22"/>
  <c r="K104" i="22"/>
  <c r="M103" i="22"/>
  <c r="K103" i="22"/>
  <c r="M102" i="22"/>
  <c r="K102" i="22"/>
  <c r="M101" i="22"/>
  <c r="K101" i="22"/>
  <c r="C99" i="22"/>
  <c r="M100" i="22"/>
  <c r="K100" i="22"/>
  <c r="K99" i="22"/>
  <c r="K98" i="22"/>
  <c r="C101" i="22"/>
  <c r="M99" i="22"/>
  <c r="M98" i="22"/>
  <c r="C63" i="22" l="1"/>
  <c r="B63" i="22"/>
  <c r="W18" i="22"/>
  <c r="W17" i="22"/>
  <c r="U18" i="22"/>
  <c r="U17" i="22"/>
  <c r="P19" i="22"/>
  <c r="P18" i="22"/>
  <c r="P17" i="22"/>
  <c r="N19" i="22"/>
  <c r="N18" i="22"/>
  <c r="N17" i="22"/>
  <c r="S18" i="22"/>
  <c r="S17" i="22"/>
  <c r="L18" i="22"/>
  <c r="L17" i="22"/>
  <c r="G22" i="22"/>
  <c r="G21" i="22"/>
  <c r="G20" i="22"/>
  <c r="G19" i="22"/>
  <c r="G18" i="22"/>
  <c r="G17" i="22"/>
  <c r="E22" i="22"/>
  <c r="E21" i="22"/>
  <c r="E20" i="22"/>
  <c r="E19" i="22"/>
  <c r="E18" i="22"/>
  <c r="E17" i="22"/>
  <c r="C18" i="22"/>
  <c r="C17" i="22"/>
  <c r="V18" i="22"/>
  <c r="V17" i="22"/>
  <c r="T18" i="22"/>
  <c r="T17" i="22"/>
  <c r="O19" i="22"/>
  <c r="O18" i="22"/>
  <c r="O17" i="22"/>
  <c r="M19" i="22"/>
  <c r="M18" i="22"/>
  <c r="M17" i="22"/>
  <c r="R18" i="22"/>
  <c r="R17" i="22"/>
  <c r="K18" i="22"/>
  <c r="K17" i="22"/>
  <c r="F22" i="22"/>
  <c r="F21" i="22"/>
  <c r="F20" i="22"/>
  <c r="F19" i="22"/>
  <c r="F18" i="22"/>
  <c r="F17" i="22"/>
  <c r="D22" i="22"/>
  <c r="D74" i="22" s="1"/>
  <c r="F120" i="22" s="1"/>
  <c r="H120" i="22" s="1"/>
  <c r="D21" i="22"/>
  <c r="D73" i="22" s="1"/>
  <c r="F119" i="22" s="1"/>
  <c r="H119" i="22" s="1"/>
  <c r="D20" i="22"/>
  <c r="D72" i="22" s="1"/>
  <c r="F118" i="22" s="1"/>
  <c r="H118" i="22" s="1"/>
  <c r="D19" i="22"/>
  <c r="D71" i="22" s="1"/>
  <c r="F117" i="22" s="1"/>
  <c r="H117" i="22" s="1"/>
  <c r="D18" i="22"/>
  <c r="D17" i="22"/>
  <c r="B18" i="22"/>
  <c r="B17" i="22"/>
  <c r="G52" i="22" a="1"/>
  <c r="G52" i="22" s="1"/>
  <c r="G62" i="22" s="1"/>
  <c r="E52" i="22" a="1"/>
  <c r="E52" i="22" s="1"/>
  <c r="E62" i="22" s="1"/>
  <c r="G51" i="22" a="1"/>
  <c r="G51" i="22" s="1"/>
  <c r="G61" i="22" s="1"/>
  <c r="E51" i="22" a="1"/>
  <c r="E51" i="22" s="1"/>
  <c r="E61" i="22" s="1"/>
  <c r="G50" i="22" a="1"/>
  <c r="G50" i="22" s="1"/>
  <c r="G60" i="22" s="1"/>
  <c r="E50" i="22" a="1"/>
  <c r="E50" i="22" s="1"/>
  <c r="E60" i="22" s="1"/>
  <c r="P49" i="22" a="1"/>
  <c r="P49" i="22" s="1"/>
  <c r="P59" i="22" s="1"/>
  <c r="N49" i="22" a="1"/>
  <c r="N49" i="22" s="1"/>
  <c r="N59" i="22" s="1"/>
  <c r="F49" i="22" a="1"/>
  <c r="F49" i="22" s="1"/>
  <c r="F59" i="22" s="1"/>
  <c r="D49" i="22" a="1"/>
  <c r="D49" i="22" s="1"/>
  <c r="D59" i="22" s="1"/>
  <c r="V48" i="22" a="1"/>
  <c r="V48" i="22" s="1"/>
  <c r="V58" i="22" s="1"/>
  <c r="T48" i="22" a="1"/>
  <c r="T48" i="22" s="1"/>
  <c r="T58" i="22" s="1"/>
  <c r="R48" i="22" a="1"/>
  <c r="R48" i="22" s="1"/>
  <c r="R58" i="22" s="1"/>
  <c r="O48" i="22" a="1"/>
  <c r="O48" i="22" s="1"/>
  <c r="O58" i="22" s="1"/>
  <c r="M48" i="22" a="1"/>
  <c r="M48" i="22" s="1"/>
  <c r="M58" i="22" s="1"/>
  <c r="F48" i="22" a="1"/>
  <c r="F48" i="22" s="1"/>
  <c r="F58" i="22" s="1"/>
  <c r="D48" i="22" a="1"/>
  <c r="D48" i="22" s="1"/>
  <c r="D58" i="22" s="1"/>
  <c r="B48" i="22" a="1"/>
  <c r="B48" i="22" s="1"/>
  <c r="B58" i="22" s="1"/>
  <c r="S47" i="22" a="1"/>
  <c r="S47" i="22" s="1"/>
  <c r="S57" i="22" s="1"/>
  <c r="L47" i="22" a="1"/>
  <c r="L47" i="22" s="1"/>
  <c r="L57" i="22" s="1"/>
  <c r="E47" i="22" a="1"/>
  <c r="E47" i="22" s="1"/>
  <c r="E57" i="22" s="1"/>
  <c r="K48" i="22" a="1"/>
  <c r="K48" i="22" s="1"/>
  <c r="K58" i="22" s="1"/>
  <c r="F52" i="22" a="1"/>
  <c r="F52" i="22" s="1"/>
  <c r="F62" i="22" s="1"/>
  <c r="D52" i="22" a="1"/>
  <c r="D52" i="22" s="1"/>
  <c r="D62" i="22" s="1"/>
  <c r="F51" i="22" a="1"/>
  <c r="F51" i="22" s="1"/>
  <c r="F61" i="22" s="1"/>
  <c r="D51" i="22" a="1"/>
  <c r="D51" i="22" s="1"/>
  <c r="D61" i="22" s="1"/>
  <c r="F50" i="22" a="1"/>
  <c r="F50" i="22" s="1"/>
  <c r="F60" i="22" s="1"/>
  <c r="D50" i="22" a="1"/>
  <c r="D50" i="22" s="1"/>
  <c r="D60" i="22" s="1"/>
  <c r="O49" i="22" a="1"/>
  <c r="O49" i="22" s="1"/>
  <c r="O59" i="22" s="1"/>
  <c r="G49" i="22" a="1"/>
  <c r="G49" i="22" s="1"/>
  <c r="G59" i="22" s="1"/>
  <c r="E49" i="22" a="1"/>
  <c r="E49" i="22" s="1"/>
  <c r="E59" i="22" s="1"/>
  <c r="W48" i="22" a="1"/>
  <c r="W48" i="22" s="1"/>
  <c r="W58" i="22" s="1"/>
  <c r="U48" i="22" a="1"/>
  <c r="U48" i="22" s="1"/>
  <c r="U58" i="22" s="1"/>
  <c r="S48" i="22" a="1"/>
  <c r="S48" i="22" s="1"/>
  <c r="S58" i="22" s="1"/>
  <c r="P48" i="22" a="1"/>
  <c r="P48" i="22" s="1"/>
  <c r="P58" i="22" s="1"/>
  <c r="N48" i="22" a="1"/>
  <c r="N48" i="22" s="1"/>
  <c r="N58" i="22" s="1"/>
  <c r="G48" i="22" a="1"/>
  <c r="G48" i="22" s="1"/>
  <c r="G58" i="22" s="1"/>
  <c r="E48" i="22" a="1"/>
  <c r="E48" i="22" s="1"/>
  <c r="E58" i="22" s="1"/>
  <c r="C48" i="22" a="1"/>
  <c r="C48" i="22" s="1"/>
  <c r="C58" i="22" s="1"/>
  <c r="M49" i="22" a="1"/>
  <c r="M49" i="22" s="1"/>
  <c r="M59" i="22" s="1"/>
  <c r="V47" i="22" a="1"/>
  <c r="V47" i="22" s="1"/>
  <c r="V57" i="22" s="1"/>
  <c r="N47" i="22" a="1"/>
  <c r="N47" i="22" s="1"/>
  <c r="N57" i="22" s="1"/>
  <c r="G47" i="22" a="1"/>
  <c r="G47" i="22" s="1"/>
  <c r="G57" i="22" s="1"/>
  <c r="B47" i="22" a="1"/>
  <c r="B47" i="22" s="1"/>
  <c r="B57" i="22" s="1"/>
  <c r="D47" i="22" a="1"/>
  <c r="D47" i="22" s="1"/>
  <c r="D57" i="22" s="1"/>
  <c r="K47" i="22" a="1"/>
  <c r="K47" i="22" s="1"/>
  <c r="K57" i="22" s="1"/>
  <c r="P47" i="22" a="1"/>
  <c r="P47" i="22" s="1"/>
  <c r="P57" i="22" s="1"/>
  <c r="W47" i="22" a="1"/>
  <c r="W47" i="22" s="1"/>
  <c r="W57" i="22" s="1"/>
  <c r="R47" i="22" a="1"/>
  <c r="R47" i="22" s="1"/>
  <c r="R57" i="22" s="1"/>
  <c r="U47" i="22" a="1"/>
  <c r="U47" i="22" s="1"/>
  <c r="U57" i="22" s="1"/>
  <c r="L48" i="22" a="1"/>
  <c r="L48" i="22" s="1"/>
  <c r="L58" i="22" s="1"/>
  <c r="F47" i="22" a="1"/>
  <c r="F47" i="22" s="1"/>
  <c r="F57" i="22" s="1"/>
  <c r="M47" i="22" a="1"/>
  <c r="M47" i="22" s="1"/>
  <c r="M57" i="22" s="1"/>
  <c r="T47" i="22" a="1"/>
  <c r="T47" i="22" s="1"/>
  <c r="T57" i="22" s="1"/>
  <c r="O47" i="22" a="1"/>
  <c r="O47" i="22" s="1"/>
  <c r="O57" i="22" s="1"/>
  <c r="C47" i="22" a="1"/>
  <c r="C47" i="22" s="1"/>
  <c r="C57" i="22" s="1"/>
  <c r="T70" i="22"/>
  <c r="V70" i="22" s="1"/>
  <c r="L107" i="22"/>
  <c r="L105" i="22"/>
  <c r="K107" i="22"/>
  <c r="K105" i="22"/>
  <c r="N107" i="22"/>
  <c r="N105" i="22"/>
  <c r="M107" i="22"/>
  <c r="M105" i="22"/>
  <c r="B103" i="22"/>
  <c r="F74" i="22"/>
  <c r="I9" i="19"/>
  <c r="I22" i="19" s="1"/>
  <c r="D69" i="22" l="1"/>
  <c r="F115" i="22" s="1"/>
  <c r="H115" i="22" s="1"/>
  <c r="M70" i="22"/>
  <c r="O116" i="22" s="1"/>
  <c r="T69" i="22"/>
  <c r="V69" i="22" s="1"/>
  <c r="V71" i="22" s="1"/>
  <c r="D70" i="22"/>
  <c r="F116" i="22" s="1"/>
  <c r="H116" i="22" s="1"/>
  <c r="M69" i="22"/>
  <c r="O69" i="22" s="1"/>
  <c r="M71" i="22"/>
  <c r="O71" i="22" s="1"/>
  <c r="F73" i="22"/>
  <c r="F72" i="22"/>
  <c r="F71" i="22"/>
  <c r="K71" i="22"/>
  <c r="D7" i="27"/>
  <c r="J39" i="23"/>
  <c r="J39" i="27"/>
  <c r="B69" i="22"/>
  <c r="R69" i="22"/>
  <c r="B74" i="22"/>
  <c r="B70" i="22"/>
  <c r="O70" i="22"/>
  <c r="B71" i="22"/>
  <c r="K69" i="22"/>
  <c r="B72" i="22"/>
  <c r="D7" i="23"/>
  <c r="K70" i="22"/>
  <c r="R70" i="22"/>
  <c r="B73" i="22"/>
  <c r="T71" i="22" l="1"/>
  <c r="V80" i="22" s="1"/>
  <c r="V81" i="22" s="1"/>
  <c r="O117" i="22"/>
  <c r="Q117" i="22" s="1"/>
  <c r="F69" i="22"/>
  <c r="F121" i="22"/>
  <c r="H131" i="22" s="1"/>
  <c r="E131" i="22" s="1"/>
  <c r="D75" i="22"/>
  <c r="D26" i="18" s="1"/>
  <c r="H121" i="22"/>
  <c r="F70" i="22"/>
  <c r="F75" i="22" s="1"/>
  <c r="O115" i="22"/>
  <c r="Q115" i="22" s="1"/>
  <c r="M72" i="22"/>
  <c r="O72" i="22"/>
  <c r="Q116" i="22"/>
  <c r="G32" i="19"/>
  <c r="F32" i="19"/>
  <c r="F80" i="22" l="1"/>
  <c r="B80" i="22" s="1"/>
  <c r="H126" i="22"/>
  <c r="B126" i="22" s="1"/>
  <c r="C27" i="18"/>
  <c r="O80" i="22"/>
  <c r="N80" i="22" s="1"/>
  <c r="F27" i="18"/>
  <c r="H27" i="18" s="1"/>
  <c r="D23" i="18"/>
  <c r="D25" i="18"/>
  <c r="D27" i="18"/>
  <c r="G131" i="22"/>
  <c r="H127" i="22"/>
  <c r="H128" i="22" s="1"/>
  <c r="B128" i="22" s="1"/>
  <c r="D24" i="18"/>
  <c r="F85" i="22"/>
  <c r="E85" i="22" s="1"/>
  <c r="D22" i="18"/>
  <c r="C22" i="19"/>
  <c r="G27" i="18"/>
  <c r="O118" i="22"/>
  <c r="D131" i="22"/>
  <c r="B131" i="22"/>
  <c r="F131" i="22"/>
  <c r="O10" i="26" s="1"/>
  <c r="P10" i="26" s="1"/>
  <c r="Q118" i="22"/>
  <c r="K80" i="22"/>
  <c r="U80" i="22"/>
  <c r="R80" i="22"/>
  <c r="T80" i="22"/>
  <c r="F81" i="22"/>
  <c r="E81" i="22" s="1"/>
  <c r="G23" i="18" s="1"/>
  <c r="H129" i="22"/>
  <c r="D80" i="22"/>
  <c r="F22" i="18" s="1"/>
  <c r="E80" i="22"/>
  <c r="G22" i="18" s="1"/>
  <c r="Q126" i="22" l="1"/>
  <c r="E126" i="22"/>
  <c r="G126" i="22"/>
  <c r="F126" i="22"/>
  <c r="O5" i="26" s="1"/>
  <c r="P5" i="26" s="1"/>
  <c r="E127" i="22"/>
  <c r="D126" i="22"/>
  <c r="M10" i="26"/>
  <c r="M80" i="22"/>
  <c r="M90" i="22" s="1"/>
  <c r="O81" i="22"/>
  <c r="N81" i="22" s="1"/>
  <c r="F128" i="22"/>
  <c r="O7" i="26" s="1"/>
  <c r="P7" i="26" s="1"/>
  <c r="G127" i="22"/>
  <c r="G10" i="26"/>
  <c r="V10" i="26"/>
  <c r="E128" i="22"/>
  <c r="D85" i="22"/>
  <c r="G128" i="22"/>
  <c r="D128" i="22"/>
  <c r="F127" i="22"/>
  <c r="O6" i="26" s="1"/>
  <c r="P6" i="26" s="1"/>
  <c r="B127" i="22"/>
  <c r="D127" i="22"/>
  <c r="B85" i="22"/>
  <c r="N10" i="26"/>
  <c r="A10" i="26"/>
  <c r="L10" i="26"/>
  <c r="Q10" i="26"/>
  <c r="S10" i="26" s="1"/>
  <c r="C10" i="26"/>
  <c r="F10" i="26"/>
  <c r="D10" i="26"/>
  <c r="E10" i="26"/>
  <c r="T10" i="26"/>
  <c r="N90" i="22"/>
  <c r="D81" i="22"/>
  <c r="F23" i="18" s="1"/>
  <c r="H23" i="18" s="1"/>
  <c r="K90" i="22"/>
  <c r="V7" i="26"/>
  <c r="O126" i="22"/>
  <c r="K126" i="22"/>
  <c r="M126" i="22"/>
  <c r="N126" i="22"/>
  <c r="P126" i="22"/>
  <c r="T7" i="26"/>
  <c r="T81" i="22"/>
  <c r="U81" i="22"/>
  <c r="R81" i="22"/>
  <c r="E7" i="26"/>
  <c r="D7" i="26"/>
  <c r="B81" i="22"/>
  <c r="C23" i="18" s="1"/>
  <c r="F82" i="22"/>
  <c r="F83" i="22" s="1"/>
  <c r="F84" i="22" s="1"/>
  <c r="B129" i="22"/>
  <c r="F129" i="22"/>
  <c r="O8" i="26" s="1"/>
  <c r="E129" i="22"/>
  <c r="D129" i="22"/>
  <c r="G129" i="22"/>
  <c r="H130" i="22"/>
  <c r="C7" i="26"/>
  <c r="Q7" i="26"/>
  <c r="S7" i="26" s="1"/>
  <c r="Q127" i="22"/>
  <c r="O82" i="22"/>
  <c r="C22" i="18"/>
  <c r="H22" i="18"/>
  <c r="G6" i="26" l="1"/>
  <c r="F6" i="26"/>
  <c r="T6" i="26"/>
  <c r="N5" i="26"/>
  <c r="T5" i="26"/>
  <c r="D5" i="26"/>
  <c r="A5" i="26"/>
  <c r="Q5" i="26"/>
  <c r="S5" i="26" s="1"/>
  <c r="C5" i="26"/>
  <c r="V5" i="26"/>
  <c r="F5" i="26"/>
  <c r="L5" i="26"/>
  <c r="M5" i="26"/>
  <c r="E5" i="26"/>
  <c r="G5" i="26"/>
  <c r="M6" i="26"/>
  <c r="K81" i="22"/>
  <c r="K91" i="22" s="1"/>
  <c r="M7" i="26"/>
  <c r="N7" i="26"/>
  <c r="A7" i="26"/>
  <c r="F7" i="26"/>
  <c r="G7" i="26"/>
  <c r="L7" i="26"/>
  <c r="Q6" i="26"/>
  <c r="S6" i="26" s="1"/>
  <c r="M81" i="22"/>
  <c r="D6" i="26"/>
  <c r="A6" i="26"/>
  <c r="N6" i="26"/>
  <c r="C6" i="26"/>
  <c r="L6" i="26"/>
  <c r="V6" i="26"/>
  <c r="E6" i="26"/>
  <c r="M91" i="22"/>
  <c r="E82" i="22"/>
  <c r="G24" i="18" s="1"/>
  <c r="V8" i="26"/>
  <c r="P8" i="26"/>
  <c r="N91" i="22"/>
  <c r="B83" i="22"/>
  <c r="C25" i="18" s="1"/>
  <c r="O127" i="22"/>
  <c r="K127" i="22"/>
  <c r="M127" i="22"/>
  <c r="N127" i="22"/>
  <c r="P127" i="22"/>
  <c r="T8" i="26"/>
  <c r="L8" i="26"/>
  <c r="M82" i="22"/>
  <c r="M92" i="22" s="1"/>
  <c r="N82" i="22"/>
  <c r="N92" i="22" s="1"/>
  <c r="K82" i="22"/>
  <c r="K92" i="22" s="1"/>
  <c r="E8" i="26"/>
  <c r="G8" i="26"/>
  <c r="D8" i="26"/>
  <c r="A8" i="26"/>
  <c r="F8" i="26"/>
  <c r="E83" i="22"/>
  <c r="G25" i="18" s="1"/>
  <c r="D83" i="22"/>
  <c r="F25" i="18" s="1"/>
  <c r="B82" i="22"/>
  <c r="C24" i="18" s="1"/>
  <c r="D82" i="22"/>
  <c r="F24" i="18" s="1"/>
  <c r="Q8" i="26"/>
  <c r="S8" i="26" s="1"/>
  <c r="B130" i="22"/>
  <c r="F130" i="22"/>
  <c r="O9" i="26" s="1"/>
  <c r="E130" i="22"/>
  <c r="D130" i="22"/>
  <c r="G130" i="22"/>
  <c r="M8" i="26"/>
  <c r="N8" i="26"/>
  <c r="C8" i="26"/>
  <c r="Q128" i="22"/>
  <c r="B84" i="22"/>
  <c r="C26" i="18" s="1"/>
  <c r="E84" i="22"/>
  <c r="G26" i="18" s="1"/>
  <c r="D84" i="22"/>
  <c r="F26" i="18" s="1"/>
  <c r="H24" i="18" l="1"/>
  <c r="M93" i="22"/>
  <c r="V9" i="26"/>
  <c r="P9" i="26"/>
  <c r="O128" i="22"/>
  <c r="K128" i="22"/>
  <c r="N128" i="22"/>
  <c r="M128" i="22"/>
  <c r="P128" i="22"/>
  <c r="T9" i="26"/>
  <c r="L9" i="26"/>
  <c r="G9" i="26"/>
  <c r="E9" i="26"/>
  <c r="F9" i="26"/>
  <c r="D9" i="26"/>
  <c r="A9" i="26"/>
  <c r="H25" i="18"/>
  <c r="Q9" i="26"/>
  <c r="S9" i="26" s="1"/>
  <c r="N9" i="26"/>
  <c r="M9" i="26"/>
  <c r="C9" i="26"/>
  <c r="F32" i="18"/>
  <c r="H26" i="18"/>
  <c r="C7" i="10"/>
  <c r="C9" i="10"/>
  <c r="C4" i="10"/>
  <c r="C6" i="10"/>
  <c r="C11" i="10"/>
  <c r="C13" i="10"/>
  <c r="C3" i="10"/>
  <c r="H32" i="18" l="1"/>
  <c r="C2" i="10" l="1"/>
  <c r="H2" i="10" l="1"/>
  <c r="O83" i="22" l="1"/>
  <c r="O84" i="22"/>
</calcChain>
</file>

<file path=xl/sharedStrings.xml><?xml version="1.0" encoding="utf-8"?>
<sst xmlns="http://schemas.openxmlformats.org/spreadsheetml/2006/main" count="856" uniqueCount="415">
  <si>
    <t>No.</t>
    <phoneticPr fontId="1"/>
  </si>
  <si>
    <t>器物番号</t>
    <rPh sb="0" eb="2">
      <t>キブツ</t>
    </rPh>
    <rPh sb="2" eb="4">
      <t>バンゴウ</t>
    </rPh>
    <phoneticPr fontId="1"/>
  </si>
  <si>
    <t>代理人</t>
    <rPh sb="0" eb="3">
      <t>ダイリニン</t>
    </rPh>
    <phoneticPr fontId="1"/>
  </si>
  <si>
    <t>申請日</t>
    <rPh sb="0" eb="3">
      <t>シンセイビ</t>
    </rPh>
    <phoneticPr fontId="1"/>
  </si>
  <si>
    <t>電話番号</t>
    <rPh sb="0" eb="4">
      <t>デンワバンゴウ</t>
    </rPh>
    <phoneticPr fontId="1"/>
  </si>
  <si>
    <t>表す質量</t>
    <rPh sb="0" eb="1">
      <t>アラワ</t>
    </rPh>
    <rPh sb="2" eb="4">
      <t>シツリョウ</t>
    </rPh>
    <phoneticPr fontId="1"/>
  </si>
  <si>
    <t>形状</t>
    <rPh sb="0" eb="2">
      <t>ケイジョウ</t>
    </rPh>
    <phoneticPr fontId="1"/>
  </si>
  <si>
    <t>識別</t>
    <rPh sb="0" eb="2">
      <t>シキベツ</t>
    </rPh>
    <phoneticPr fontId="1"/>
  </si>
  <si>
    <t>単位</t>
    <rPh sb="0" eb="2">
      <t>タンイ</t>
    </rPh>
    <phoneticPr fontId="1"/>
  </si>
  <si>
    <t>JCSS</t>
    <phoneticPr fontId="1"/>
  </si>
  <si>
    <t>その他</t>
    <rPh sb="2" eb="3">
      <t>タ</t>
    </rPh>
    <phoneticPr fontId="1"/>
  </si>
  <si>
    <t>備考</t>
    <rPh sb="0" eb="2">
      <t>ビコウ</t>
    </rPh>
    <phoneticPr fontId="1"/>
  </si>
  <si>
    <t>円筒形</t>
  </si>
  <si>
    <t>板状</t>
  </si>
  <si>
    <t>線状</t>
  </si>
  <si>
    <t>申請者</t>
    <rPh sb="0" eb="3">
      <t>シンセイシャ</t>
    </rPh>
    <phoneticPr fontId="1"/>
  </si>
  <si>
    <t>)</t>
    <phoneticPr fontId="1"/>
  </si>
  <si>
    <t>ステンレス鋼</t>
    <rPh sb="5" eb="6">
      <t>コウ</t>
    </rPh>
    <phoneticPr fontId="1"/>
  </si>
  <si>
    <t>真ちゅう(メッキ)</t>
    <rPh sb="0" eb="1">
      <t>シン</t>
    </rPh>
    <phoneticPr fontId="1"/>
  </si>
  <si>
    <t>洋銀</t>
    <rPh sb="0" eb="2">
      <t>ヨウギン</t>
    </rPh>
    <phoneticPr fontId="1"/>
  </si>
  <si>
    <t>アルミ合金</t>
    <rPh sb="3" eb="5">
      <t>ゴウキン</t>
    </rPh>
    <phoneticPr fontId="1"/>
  </si>
  <si>
    <t>↓項目名</t>
    <rPh sb="1" eb="3">
      <t>コウモク</t>
    </rPh>
    <rPh sb="3" eb="4">
      <t>メイ</t>
    </rPh>
    <phoneticPr fontId="1"/>
  </si>
  <si>
    <t>↓入力欄</t>
    <rPh sb="1" eb="4">
      <t>ニュウリョクラン</t>
    </rPh>
    <phoneticPr fontId="1"/>
  </si>
  <si>
    <t>03-○○○○-××××</t>
    <phoneticPr fontId="1"/>
  </si>
  <si>
    <t>申請情報</t>
    <rPh sb="0" eb="4">
      <t>シンセイジョウホウ</t>
    </rPh>
    <phoneticPr fontId="1"/>
  </si>
  <si>
    <t>　</t>
  </si>
  <si>
    <t>入力確認</t>
    <rPh sb="0" eb="4">
      <t>ニュウリョクカクニン</t>
    </rPh>
    <phoneticPr fontId="1"/>
  </si>
  <si>
    <t>分銅識別要否</t>
    <rPh sb="0" eb="2">
      <t>フンドウ</t>
    </rPh>
    <rPh sb="2" eb="4">
      <t>シキベツ</t>
    </rPh>
    <rPh sb="4" eb="6">
      <t>ヨウヒ</t>
    </rPh>
    <phoneticPr fontId="1"/>
  </si>
  <si>
    <t>※橙色セルに入力</t>
    <rPh sb="1" eb="3">
      <t>ダイダイイロ</t>
    </rPh>
    <rPh sb="6" eb="8">
      <t>ニュウリョク</t>
    </rPh>
    <phoneticPr fontId="1"/>
  </si>
  <si>
    <t>東京都○○区××-□□-△△</t>
    <rPh sb="0" eb="3">
      <t>トウキョウト</t>
    </rPh>
    <rPh sb="5" eb="6">
      <t>ク</t>
    </rPh>
    <phoneticPr fontId="1"/>
  </si>
  <si>
    <t>様式１</t>
  </si>
  <si>
    <t>第１号様式の２（第３条関係）</t>
    <phoneticPr fontId="1"/>
  </si>
  <si>
    <t>東京都質量標準校正依頼申請書</t>
  </si>
  <si>
    <t>東京都計量検定所長　　　殿</t>
  </si>
  <si>
    <t xml:space="preserve"> 申請者</t>
    <phoneticPr fontId="1"/>
  </si>
  <si>
    <t xml:space="preserve">住所又は所在地　 </t>
    <phoneticPr fontId="1"/>
  </si>
  <si>
    <t>氏名又は名称</t>
  </si>
  <si>
    <t>電話</t>
  </si>
  <si>
    <t>下記の分銅について校正を受けたいので、手数料を添えて申請します。</t>
  </si>
  <si>
    <t>記</t>
    <phoneticPr fontId="1"/>
  </si>
  <si>
    <t>等級及び公称値</t>
  </si>
  <si>
    <t>器物番号</t>
  </si>
  <si>
    <t>個数</t>
  </si>
  <si>
    <t>手数料</t>
  </si>
  <si>
    <t>手数料合計</t>
  </si>
  <si>
    <t>備       考</t>
  </si>
  <si>
    <t>合計</t>
  </si>
  <si>
    <t>(注)１　申請者は、太枠内のみ記入してください</t>
  </si>
  <si>
    <t>　　２　器物番号等から一組の分銅であることが明白でかつ手数料が同一の場合は同じ欄に記入できます</t>
    <phoneticPr fontId="1"/>
  </si>
  <si>
    <t>（日本産業規格Ａ列４番）</t>
  </si>
  <si>
    <t>様式２</t>
  </si>
  <si>
    <t xml:space="preserve">第６号様式の２（第４条関係） </t>
  </si>
  <si>
    <t>東京都質量標準校正証明書交付申請書</t>
  </si>
  <si>
    <t xml:space="preserve">  申請者</t>
    <phoneticPr fontId="1"/>
  </si>
  <si>
    <t>住所又は所在地</t>
    <phoneticPr fontId="1"/>
  </si>
  <si>
    <t>氏名又は名称</t>
    <phoneticPr fontId="1"/>
  </si>
  <si>
    <t>下記の分銅について校正結果の証明書の交付を受けたいので、手数料を添えて申請します。</t>
  </si>
  <si>
    <t>記</t>
  </si>
  <si>
    <t>等級及び公称値</t>
    <phoneticPr fontId="1"/>
  </si>
  <si>
    <t>器物番号　　</t>
  </si>
  <si>
    <t>通数</t>
  </si>
  <si>
    <t>校正申請年月日</t>
  </si>
  <si>
    <t>備   考</t>
  </si>
  <si>
    <t>（注）申請者は、太枠内のみ記入してください</t>
    <phoneticPr fontId="1"/>
  </si>
  <si>
    <t>1mg</t>
    <phoneticPr fontId="1"/>
  </si>
  <si>
    <t>2mg</t>
    <phoneticPr fontId="1"/>
  </si>
  <si>
    <t>5mg</t>
    <phoneticPr fontId="1"/>
  </si>
  <si>
    <t>10mg</t>
    <phoneticPr fontId="1"/>
  </si>
  <si>
    <t>20mg</t>
    <phoneticPr fontId="1"/>
  </si>
  <si>
    <t>50mg</t>
    <phoneticPr fontId="1"/>
  </si>
  <si>
    <t>100mg</t>
    <phoneticPr fontId="1"/>
  </si>
  <si>
    <t>200mg</t>
    <phoneticPr fontId="1"/>
  </si>
  <si>
    <t>500mg</t>
    <phoneticPr fontId="1"/>
  </si>
  <si>
    <t>1g</t>
    <phoneticPr fontId="1"/>
  </si>
  <si>
    <t>2g</t>
    <phoneticPr fontId="1"/>
  </si>
  <si>
    <t>5g</t>
    <phoneticPr fontId="1"/>
  </si>
  <si>
    <t>10g</t>
    <phoneticPr fontId="1"/>
  </si>
  <si>
    <t>20g</t>
    <phoneticPr fontId="1"/>
  </si>
  <si>
    <t>50g</t>
    <phoneticPr fontId="1"/>
  </si>
  <si>
    <t>100g</t>
    <phoneticPr fontId="1"/>
  </si>
  <si>
    <t>200g</t>
  </si>
  <si>
    <t>200g</t>
    <phoneticPr fontId="1"/>
  </si>
  <si>
    <t>500g</t>
    <phoneticPr fontId="1"/>
  </si>
  <si>
    <t>1kg</t>
    <phoneticPr fontId="1"/>
  </si>
  <si>
    <t>2kg</t>
    <phoneticPr fontId="1"/>
  </si>
  <si>
    <t>5kg</t>
    <phoneticPr fontId="1"/>
  </si>
  <si>
    <t>10kg</t>
    <phoneticPr fontId="1"/>
  </si>
  <si>
    <t>20kg</t>
    <phoneticPr fontId="1"/>
  </si>
  <si>
    <t>50kg</t>
    <phoneticPr fontId="1"/>
  </si>
  <si>
    <t>100kg</t>
    <phoneticPr fontId="1"/>
  </si>
  <si>
    <t>200kg</t>
    <phoneticPr fontId="1"/>
  </si>
  <si>
    <t>500kg</t>
    <phoneticPr fontId="1"/>
  </si>
  <si>
    <t>1000kg</t>
    <phoneticPr fontId="1"/>
  </si>
  <si>
    <t>JCSS</t>
    <phoneticPr fontId="1"/>
  </si>
  <si>
    <t>基準分銅</t>
    <rPh sb="0" eb="2">
      <t>キジュン</t>
    </rPh>
    <rPh sb="2" eb="4">
      <t>フンドウ</t>
    </rPh>
    <phoneticPr fontId="1"/>
  </si>
  <si>
    <t>基準分銅(JCSS同時申請)</t>
    <rPh sb="0" eb="2">
      <t>キジュン</t>
    </rPh>
    <rPh sb="2" eb="4">
      <t>フンドウ</t>
    </rPh>
    <rPh sb="9" eb="11">
      <t>ドウジ</t>
    </rPh>
    <rPh sb="11" eb="13">
      <t>シンセイ</t>
    </rPh>
    <phoneticPr fontId="1"/>
  </si>
  <si>
    <t>精度等級</t>
    <rPh sb="0" eb="2">
      <t>セイド</t>
    </rPh>
    <rPh sb="2" eb="4">
      <t>トウキュウ</t>
    </rPh>
    <phoneticPr fontId="1"/>
  </si>
  <si>
    <t>100kg</t>
    <phoneticPr fontId="1"/>
  </si>
  <si>
    <t>200kg</t>
    <phoneticPr fontId="1"/>
  </si>
  <si>
    <t>500kg</t>
    <phoneticPr fontId="1"/>
  </si>
  <si>
    <t>1000kg</t>
    <phoneticPr fontId="1"/>
  </si>
  <si>
    <t>1mg</t>
    <phoneticPr fontId="1"/>
  </si>
  <si>
    <t>500g</t>
    <phoneticPr fontId="1"/>
  </si>
  <si>
    <t>20kg</t>
    <phoneticPr fontId="1"/>
  </si>
  <si>
    <t>10mg</t>
    <phoneticPr fontId="1"/>
  </si>
  <si>
    <t>5kg</t>
    <phoneticPr fontId="1"/>
  </si>
  <si>
    <t>50kg</t>
    <phoneticPr fontId="1"/>
  </si>
  <si>
    <t>200g</t>
    <phoneticPr fontId="1"/>
  </si>
  <si>
    <t>10kg</t>
    <phoneticPr fontId="1"/>
  </si>
  <si>
    <t>①</t>
    <phoneticPr fontId="1"/>
  </si>
  <si>
    <t>②</t>
    <phoneticPr fontId="1"/>
  </si>
  <si>
    <t>③</t>
    <phoneticPr fontId="1"/>
  </si>
  <si>
    <t>④</t>
    <phoneticPr fontId="1"/>
  </si>
  <si>
    <t>⑤</t>
    <phoneticPr fontId="1"/>
  </si>
  <si>
    <t>⑥</t>
    <phoneticPr fontId="1"/>
  </si>
  <si>
    <t>数量</t>
    <rPh sb="0" eb="2">
      <t>スウリョウ</t>
    </rPh>
    <phoneticPr fontId="1"/>
  </si>
  <si>
    <t>単価</t>
    <rPh sb="0" eb="2">
      <t>タンカ</t>
    </rPh>
    <phoneticPr fontId="1"/>
  </si>
  <si>
    <t>検索用</t>
    <rPh sb="0" eb="3">
      <t>ケンサクヨウ</t>
    </rPh>
    <phoneticPr fontId="1"/>
  </si>
  <si>
    <t>表示用</t>
    <rPh sb="0" eb="3">
      <t>ヒョウジヨウ</t>
    </rPh>
    <phoneticPr fontId="1"/>
  </si>
  <si>
    <t>判別g数</t>
    <rPh sb="0" eb="2">
      <t>ハンベツ</t>
    </rPh>
    <rPh sb="3" eb="4">
      <t>スウ</t>
    </rPh>
    <phoneticPr fontId="1"/>
  </si>
  <si>
    <t>最大・最小判定(g単位)</t>
    <rPh sb="0" eb="2">
      <t>サイダイ</t>
    </rPh>
    <rPh sb="3" eb="5">
      <t>サイショウ</t>
    </rPh>
    <rPh sb="5" eb="7">
      <t>ハンテイ</t>
    </rPh>
    <rPh sb="9" eb="11">
      <t>タンイ</t>
    </rPh>
    <phoneticPr fontId="1"/>
  </si>
  <si>
    <t>min/max</t>
    <phoneticPr fontId="1"/>
  </si>
  <si>
    <t>公称値</t>
    <rPh sb="0" eb="3">
      <t>コウショウチ</t>
    </rPh>
    <phoneticPr fontId="1"/>
  </si>
  <si>
    <t>申請書用(前段階)</t>
    <rPh sb="0" eb="3">
      <t>シンセイショ</t>
    </rPh>
    <rPh sb="3" eb="4">
      <t>ヨウ</t>
    </rPh>
    <rPh sb="5" eb="8">
      <t>マエダンカイ</t>
    </rPh>
    <phoneticPr fontId="1"/>
  </si>
  <si>
    <t>JCSS</t>
    <phoneticPr fontId="1"/>
  </si>
  <si>
    <t>基準分銅</t>
    <phoneticPr fontId="1"/>
  </si>
  <si>
    <t>基準分銅(JCSS同時申請)</t>
    <phoneticPr fontId="1"/>
  </si>
  <si>
    <t>↓</t>
    <phoneticPr fontId="1"/>
  </si>
  <si>
    <t>←</t>
    <phoneticPr fontId="1"/>
  </si>
  <si>
    <t>申請書参照用</t>
    <rPh sb="0" eb="3">
      <t>シンセイショ</t>
    </rPh>
    <rPh sb="3" eb="6">
      <t>サンショウヨウ</t>
    </rPh>
    <phoneticPr fontId="1"/>
  </si>
  <si>
    <t>角とう形</t>
  </si>
  <si>
    <t>鋳鉄等</t>
    <rPh sb="0" eb="3">
      <t>チュウテツトウ</t>
    </rPh>
    <phoneticPr fontId="1"/>
  </si>
  <si>
    <t>申請種別</t>
    <rPh sb="0" eb="2">
      <t>シンセイ</t>
    </rPh>
    <rPh sb="2" eb="4">
      <t>シュベツ</t>
    </rPh>
    <phoneticPr fontId="1"/>
  </si>
  <si>
    <t>新規・再校正</t>
    <rPh sb="0" eb="2">
      <t>シンキ</t>
    </rPh>
    <rPh sb="3" eb="6">
      <t>サイコウセイ</t>
    </rPh>
    <phoneticPr fontId="1"/>
  </si>
  <si>
    <t>共通</t>
    <rPh sb="0" eb="2">
      <t>キョウツウ</t>
    </rPh>
    <phoneticPr fontId="1"/>
  </si>
  <si>
    <t>校正証明書必要発行部数</t>
    <phoneticPr fontId="1"/>
  </si>
  <si>
    <t>料金段階表</t>
    <rPh sb="0" eb="2">
      <t>リョウキン</t>
    </rPh>
    <rPh sb="2" eb="4">
      <t>ダンカイ</t>
    </rPh>
    <rPh sb="4" eb="5">
      <t>ヒョウ</t>
    </rPh>
    <phoneticPr fontId="1"/>
  </si>
  <si>
    <t>数量集計</t>
    <rPh sb="0" eb="2">
      <t>スウリョウ</t>
    </rPh>
    <rPh sb="2" eb="4">
      <t>シュウケイ</t>
    </rPh>
    <phoneticPr fontId="1"/>
  </si>
  <si>
    <t>単価表</t>
    <rPh sb="0" eb="2">
      <t>タンカ</t>
    </rPh>
    <rPh sb="2" eb="3">
      <t>ヒョウ</t>
    </rPh>
    <phoneticPr fontId="1"/>
  </si>
  <si>
    <t>減免対象</t>
    <rPh sb="0" eb="2">
      <t>ゲンメン</t>
    </rPh>
    <rPh sb="2" eb="4">
      <t>タイショウ</t>
    </rPh>
    <phoneticPr fontId="1"/>
  </si>
  <si>
    <t>材質</t>
    <rPh sb="0" eb="2">
      <t>ザイシツ</t>
    </rPh>
    <phoneticPr fontId="1"/>
  </si>
  <si>
    <t>※　「表す質量」、「単位」、「形状」、「材質」はプルダウンの他、直接入力やコピーも可能です。</t>
    <rPh sb="3" eb="4">
      <t>アラワ</t>
    </rPh>
    <rPh sb="5" eb="7">
      <t>シツリョウ</t>
    </rPh>
    <rPh sb="10" eb="12">
      <t>タンイ</t>
    </rPh>
    <rPh sb="15" eb="17">
      <t>ケイジョウ</t>
    </rPh>
    <rPh sb="20" eb="22">
      <t>ザイシツ</t>
    </rPh>
    <rPh sb="30" eb="31">
      <t>ホカ</t>
    </rPh>
    <rPh sb="32" eb="34">
      <t>チョクセツ</t>
    </rPh>
    <rPh sb="34" eb="36">
      <t>ニュウリョク</t>
    </rPh>
    <rPh sb="41" eb="43">
      <t>カノウ</t>
    </rPh>
    <phoneticPr fontId="1"/>
  </si>
  <si>
    <t>アルミニウム</t>
  </si>
  <si>
    <t>委任状の有無</t>
    <rPh sb="0" eb="3">
      <t>イニンジョウ</t>
    </rPh>
    <rPh sb="4" eb="6">
      <t>ウム</t>
    </rPh>
    <phoneticPr fontId="1"/>
  </si>
  <si>
    <t>減免対象外</t>
    <rPh sb="0" eb="2">
      <t>ゲンメン</t>
    </rPh>
    <rPh sb="2" eb="4">
      <t>タイショウ</t>
    </rPh>
    <rPh sb="4" eb="5">
      <t>ガイ</t>
    </rPh>
    <phoneticPr fontId="1"/>
  </si>
  <si>
    <t>有</t>
    <rPh sb="0" eb="1">
      <t>アリ</t>
    </rPh>
    <phoneticPr fontId="1"/>
  </si>
  <si>
    <t>保管箱の有無</t>
    <rPh sb="0" eb="3">
      <t>ホカンバコ</t>
    </rPh>
    <rPh sb="4" eb="6">
      <t>ウム</t>
    </rPh>
    <phoneticPr fontId="1"/>
  </si>
  <si>
    <t>一級(F2)</t>
    <phoneticPr fontId="1"/>
  </si>
  <si>
    <t>二級(M1)</t>
    <phoneticPr fontId="1"/>
  </si>
  <si>
    <t>三級(M2)</t>
    <phoneticPr fontId="1"/>
  </si>
  <si>
    <t>様式４</t>
    <rPh sb="0" eb="2">
      <t>ヨウシキ</t>
    </rPh>
    <phoneticPr fontId="1"/>
  </si>
  <si>
    <r>
      <t xml:space="preserve">　　　　　　　　　　　校正依頼分銅確認表  </t>
    </r>
    <r>
      <rPr>
        <sz val="8"/>
        <color theme="1"/>
        <rFont val="HGPｺﾞｼｯｸM"/>
        <family val="3"/>
        <charset val="128"/>
      </rPr>
      <t>（精度等級及び器物番号ごとに作成してください。）</t>
    </r>
  </si>
  <si>
    <t>※太線枠の中を記入してください。</t>
  </si>
  <si>
    <t>申請者名</t>
  </si>
  <si>
    <t>依頼者名</t>
  </si>
  <si>
    <t>裏面へ記載</t>
  </si>
  <si>
    <t>精度等級</t>
  </si>
  <si>
    <t>依頼者住所</t>
  </si>
  <si>
    <t xml:space="preserve"> （名刺等を貼付してください）</t>
    <phoneticPr fontId="1"/>
  </si>
  <si>
    <t>校正証明書</t>
  </si>
  <si>
    <t>校正範囲</t>
  </si>
  <si>
    <t>必要発行部数</t>
  </si>
  <si>
    <t>分銅製造者</t>
  </si>
  <si>
    <t>校正証明書番号</t>
  </si>
  <si>
    <t>※「傷・汚損」の確認は、申請者の立会いで行う。＜部位の記入例：分銅上部より⇒頭・首・肩・周・底とする。＞</t>
  </si>
  <si>
    <t>№</t>
  </si>
  <si>
    <t>形状・材質</t>
  </si>
  <si>
    <t>公称値</t>
  </si>
  <si>
    <t>識別</t>
  </si>
  <si>
    <t>傷・汚損</t>
  </si>
  <si>
    <t>校正済</t>
  </si>
  <si>
    <t>保管箱</t>
    <rPh sb="0" eb="2">
      <t>ホカン</t>
    </rPh>
    <rPh sb="2" eb="3">
      <t>バコ</t>
    </rPh>
    <phoneticPr fontId="1"/>
  </si>
  <si>
    <t>形状</t>
  </si>
  <si>
    <t>収容内容</t>
  </si>
  <si>
    <t>傷等</t>
  </si>
  <si>
    <t>数 量</t>
  </si>
  <si>
    <t>形状と材質の記入例</t>
  </si>
  <si>
    <t>個</t>
  </si>
  <si>
    <t>材質</t>
  </si>
  <si>
    <t>確認印</t>
  </si>
  <si>
    <t>構造検査</t>
  </si>
  <si>
    <t>申請内容確認</t>
  </si>
  <si>
    <t>校正作業終了</t>
  </si>
  <si>
    <t>特記事項</t>
  </si>
  <si>
    <t>依頼品・校正証明書受理確認</t>
  </si>
  <si>
    <t>実施者</t>
  </si>
  <si>
    <t>校正担当責任者</t>
  </si>
  <si>
    <t>校正担当者</t>
  </si>
  <si>
    <t>申請者　印又は自署</t>
  </si>
  <si>
    <r>
      <t>確認日　　</t>
    </r>
    <r>
      <rPr>
        <sz val="8"/>
        <color theme="1"/>
        <rFont val="メイリオ"/>
        <family val="3"/>
        <charset val="128"/>
      </rPr>
      <t>　／</t>
    </r>
  </si>
  <si>
    <r>
      <t>確認日　</t>
    </r>
    <r>
      <rPr>
        <sz val="8"/>
        <color theme="1"/>
        <rFont val="メイリオ"/>
        <family val="3"/>
        <charset val="128"/>
      </rPr>
      <t>　　／</t>
    </r>
  </si>
  <si>
    <t>返却日　　　　　／</t>
  </si>
  <si>
    <t>様式４の裏面</t>
  </si>
  <si>
    <t>記入上の注意事項</t>
  </si>
  <si>
    <t>依頼者名及び依頼者住所は校正証明書へ記載するため、以下の事項にご注意ください。</t>
  </si>
  <si>
    <t>　手書きは誤認の恐れがあるため、名刺、会社案内等（コピー可）を貼付してください。</t>
    <phoneticPr fontId="1"/>
  </si>
  <si>
    <t>　英文参考文書(校正証明書裏面へ印刷)を希望する場合、希望の「有」に○を記入し、貼付欄に印刷した英文の依頼者名及び依頼者住所を貼付してください。</t>
    <phoneticPr fontId="1"/>
  </si>
  <si>
    <t>　記入事項に誤りがあった場合、校正証明書の訂正は行っておりませんので記入内容を十分ご確認ください。</t>
    <phoneticPr fontId="1"/>
  </si>
  <si>
    <t>　依頼者名及び依頼者住所</t>
    <phoneticPr fontId="1"/>
  </si>
  <si>
    <t>- 英文依頼者名・英文依頼者住所貼付欄 -</t>
  </si>
  <si>
    <t>自己の依頼する校正の立会いの有無</t>
    <phoneticPr fontId="1"/>
  </si>
  <si>
    <t>依頼者担当部署</t>
  </si>
  <si>
    <t>担当者名印</t>
    <phoneticPr fontId="1"/>
  </si>
  <si>
    <t>様式３</t>
    <phoneticPr fontId="1"/>
  </si>
  <si>
    <t>校正仕様確認書</t>
    <phoneticPr fontId="1"/>
  </si>
  <si>
    <t>被校正分銅の要件</t>
  </si>
  <si>
    <r>
      <t>基準器検査規則、</t>
    </r>
    <r>
      <rPr>
        <sz val="10.5"/>
        <color theme="1"/>
        <rFont val="Times New Roman"/>
        <family val="1"/>
      </rPr>
      <t>OIML R111-1</t>
    </r>
    <r>
      <rPr>
        <sz val="10.5"/>
        <color theme="1"/>
        <rFont val="ＭＳ 明朝"/>
        <family val="1"/>
        <charset val="128"/>
      </rPr>
      <t>、</t>
    </r>
    <r>
      <rPr>
        <sz val="10.5"/>
        <color theme="1"/>
        <rFont val="Times New Roman"/>
        <family val="1"/>
      </rPr>
      <t>JIS B 7609</t>
    </r>
    <r>
      <rPr>
        <sz val="10.5"/>
        <color theme="1"/>
        <rFont val="ＭＳ 明朝"/>
        <family val="1"/>
        <charset val="128"/>
      </rPr>
      <t>　のいずれかに準拠</t>
    </r>
    <phoneticPr fontId="1"/>
  </si>
  <si>
    <t>校正実施場所</t>
  </si>
  <si>
    <t>以下の東京都計量検定所内　指定校正施設</t>
  </si>
  <si>
    <t>天びん室</t>
  </si>
  <si>
    <t>台秤室</t>
  </si>
  <si>
    <t>校正値</t>
  </si>
  <si>
    <t>校正方法</t>
  </si>
  <si>
    <t>校正手順</t>
  </si>
  <si>
    <r>
      <t>東京都質量標準校正事業の校正手順書による</t>
    </r>
    <r>
      <rPr>
        <sz val="9"/>
        <color theme="1"/>
        <rFont val="ＭＳ 明朝"/>
        <family val="1"/>
        <charset val="128"/>
      </rPr>
      <t>（下請負契約事項はありません）</t>
    </r>
  </si>
  <si>
    <t>校正使用機器</t>
  </si>
  <si>
    <r>
      <t>（１）常用参照標準：</t>
    </r>
    <r>
      <rPr>
        <sz val="10.5"/>
        <color rgb="FF000000"/>
        <rFont val="Times New Roman"/>
        <family val="1"/>
      </rPr>
      <t xml:space="preserve"> OIML E</t>
    </r>
    <r>
      <rPr>
        <vertAlign val="subscript"/>
        <sz val="10.5"/>
        <color rgb="FF000000"/>
        <rFont val="Times New Roman"/>
        <family val="1"/>
      </rPr>
      <t>2</t>
    </r>
    <r>
      <rPr>
        <sz val="10.5"/>
        <color rgb="FF000000"/>
        <rFont val="ＭＳ 明朝"/>
        <family val="1"/>
        <charset val="128"/>
      </rPr>
      <t>級（</t>
    </r>
    <r>
      <rPr>
        <sz val="10.5"/>
        <color rgb="FF000000"/>
        <rFont val="Times New Roman"/>
        <family val="1"/>
      </rPr>
      <t>JCSS</t>
    </r>
    <r>
      <rPr>
        <sz val="10.5"/>
        <color rgb="FF000000"/>
        <rFont val="ＭＳ 明朝"/>
        <family val="1"/>
        <charset val="128"/>
      </rPr>
      <t>校正証明書付）</t>
    </r>
    <phoneticPr fontId="1"/>
  </si>
  <si>
    <t>（２）（１）にトレーサブルな以下の実用標準</t>
    <phoneticPr fontId="1"/>
  </si>
  <si>
    <t>（３）質量比較器</t>
  </si>
  <si>
    <t>（４）校正環境測定機器</t>
  </si>
  <si>
    <t>　　　　①温度計　　②湿度計　　③気圧計</t>
    <phoneticPr fontId="1"/>
  </si>
  <si>
    <t>不適正発生の場合</t>
  </si>
  <si>
    <t>文書での連絡及び確認</t>
  </si>
  <si>
    <t>被校正分銅外観確認</t>
  </si>
  <si>
    <t>校正依頼分銅確認表による</t>
  </si>
  <si>
    <t>標準処理期間</t>
  </si>
  <si>
    <t>顧客機密情報の保護</t>
  </si>
  <si>
    <t>「東京都個人情報の保護に関する条例」に基づく</t>
  </si>
  <si>
    <t>確認欄</t>
    <rPh sb="0" eb="2">
      <t>カクニン</t>
    </rPh>
    <rPh sb="2" eb="3">
      <t>ラン</t>
    </rPh>
    <phoneticPr fontId="1"/>
  </si>
  <si>
    <t>受付番号</t>
  </si>
  <si>
    <t>　上記校正仕様及び分銅チェック結果を確認し校正を依頼します。</t>
    <phoneticPr fontId="1"/>
  </si>
  <si>
    <t>又は技術管理者</t>
  </si>
  <si>
    <t>（申請担当者氏名）　　</t>
  </si>
  <si>
    <t>　</t>
    <phoneticPr fontId="1"/>
  </si>
  <si>
    <t>- 依頼者名・依頼者住所　貼付欄 -</t>
    <phoneticPr fontId="1"/>
  </si>
  <si>
    <t>　英文参考文書の希望　　(</t>
    <phoneticPr fontId="1"/>
  </si>
  <si>
    <t>　校正立会いの希望　　(</t>
    <phoneticPr fontId="1"/>
  </si>
  <si>
    <t>英文参考文書の希望</t>
    <phoneticPr fontId="1"/>
  </si>
  <si>
    <t>校正立会いの希望</t>
    <phoneticPr fontId="1"/>
  </si>
  <si>
    <t>部</t>
    <rPh sb="0" eb="1">
      <t>ブ</t>
    </rPh>
    <phoneticPr fontId="1"/>
  </si>
  <si>
    <t>電話</t>
    <phoneticPr fontId="1"/>
  </si>
  <si>
    <t>備考</t>
    <phoneticPr fontId="1"/>
  </si>
  <si>
    <t>2022年4月1日、2022/4/1</t>
    <rPh sb="4" eb="5">
      <t>ネン</t>
    </rPh>
    <rPh sb="6" eb="7">
      <t>ツキ</t>
    </rPh>
    <rPh sb="8" eb="9">
      <t>ニチ</t>
    </rPh>
    <phoneticPr fontId="1"/>
  </si>
  <si>
    <t>記載例</t>
    <rPh sb="0" eb="3">
      <t>キサイレイ</t>
    </rPh>
    <phoneticPr fontId="1"/>
  </si>
  <si>
    <t>基準器を用いる計量器の検査</t>
    <phoneticPr fontId="1"/>
  </si>
  <si>
    <t>一級_200g以下</t>
    <rPh sb="0" eb="2">
      <t>イッキュウ</t>
    </rPh>
    <rPh sb="7" eb="9">
      <t>イカ</t>
    </rPh>
    <phoneticPr fontId="1"/>
  </si>
  <si>
    <t>一級_200g超え</t>
    <rPh sb="0" eb="2">
      <t>イッキュウ</t>
    </rPh>
    <rPh sb="7" eb="8">
      <t>コ</t>
    </rPh>
    <phoneticPr fontId="1"/>
  </si>
  <si>
    <t>二級_5kg以下</t>
    <rPh sb="0" eb="2">
      <t>ニキュウ</t>
    </rPh>
    <rPh sb="6" eb="8">
      <t>イカ</t>
    </rPh>
    <phoneticPr fontId="1"/>
  </si>
  <si>
    <t>二級_10-50kg以下</t>
    <rPh sb="0" eb="2">
      <t>ニキュウ</t>
    </rPh>
    <rPh sb="10" eb="12">
      <t>イカ</t>
    </rPh>
    <phoneticPr fontId="1"/>
  </si>
  <si>
    <t>二級_50kg超え</t>
    <rPh sb="0" eb="2">
      <t>ニキュウ</t>
    </rPh>
    <rPh sb="7" eb="8">
      <t>コ</t>
    </rPh>
    <phoneticPr fontId="1"/>
  </si>
  <si>
    <t>三級_5kg以下</t>
    <rPh sb="0" eb="1">
      <t>サン</t>
    </rPh>
    <rPh sb="1" eb="2">
      <t>キュウ</t>
    </rPh>
    <rPh sb="6" eb="8">
      <t>イカ</t>
    </rPh>
    <phoneticPr fontId="1"/>
  </si>
  <si>
    <t>三級_10-50kg以下</t>
    <rPh sb="0" eb="1">
      <t>サン</t>
    </rPh>
    <rPh sb="1" eb="2">
      <t>キュウ</t>
    </rPh>
    <rPh sb="10" eb="12">
      <t>イカ</t>
    </rPh>
    <phoneticPr fontId="1"/>
  </si>
  <si>
    <t>三級_50kg超え</t>
    <rPh sb="0" eb="1">
      <t>サン</t>
    </rPh>
    <rPh sb="1" eb="2">
      <t>キュウ</t>
    </rPh>
    <rPh sb="7" eb="8">
      <t>コ</t>
    </rPh>
    <phoneticPr fontId="1"/>
  </si>
  <si>
    <t>1mg-200g_F2</t>
    <phoneticPr fontId="1"/>
  </si>
  <si>
    <t>500g-20kg_F2</t>
    <phoneticPr fontId="1"/>
  </si>
  <si>
    <t>500kg-1000kg_F2</t>
    <phoneticPr fontId="1"/>
  </si>
  <si>
    <t>10mg-5kg_M1</t>
    <phoneticPr fontId="1"/>
  </si>
  <si>
    <t>10kg-50kg_M1</t>
    <phoneticPr fontId="1"/>
  </si>
  <si>
    <t>100kg_M1</t>
    <phoneticPr fontId="1"/>
  </si>
  <si>
    <t>200kg_M1</t>
    <phoneticPr fontId="1"/>
  </si>
  <si>
    <t>500kg_M1</t>
    <phoneticPr fontId="1"/>
  </si>
  <si>
    <t>1000kg_M1</t>
    <phoneticPr fontId="1"/>
  </si>
  <si>
    <t>10mg-5kg_M2</t>
    <phoneticPr fontId="1"/>
  </si>
  <si>
    <t>10kg-50kg_M2</t>
    <phoneticPr fontId="1"/>
  </si>
  <si>
    <t>100kg_M2</t>
    <phoneticPr fontId="1"/>
  </si>
  <si>
    <t>200kg_M2</t>
    <phoneticPr fontId="1"/>
  </si>
  <si>
    <t>500kg_M2</t>
    <phoneticPr fontId="1"/>
  </si>
  <si>
    <t>1000kg_M2</t>
    <phoneticPr fontId="1"/>
  </si>
  <si>
    <t>能力</t>
    <rPh sb="0" eb="2">
      <t>ノウリョク</t>
    </rPh>
    <phoneticPr fontId="1"/>
  </si>
  <si>
    <t>分類</t>
    <rPh sb="0" eb="2">
      <t>ブンルイ</t>
    </rPh>
    <phoneticPr fontId="1"/>
  </si>
  <si>
    <t>種別</t>
    <rPh sb="0" eb="2">
      <t>シュベツ</t>
    </rPh>
    <phoneticPr fontId="1"/>
  </si>
  <si>
    <t>台数</t>
    <rPh sb="0" eb="2">
      <t>ダイスウ</t>
    </rPh>
    <phoneticPr fontId="1"/>
  </si>
  <si>
    <t>単価</t>
    <rPh sb="0" eb="2">
      <t>タンカ</t>
    </rPh>
    <phoneticPr fontId="1"/>
  </si>
  <si>
    <t>F2_単独</t>
    <rPh sb="3" eb="5">
      <t>タンドク</t>
    </rPh>
    <phoneticPr fontId="42"/>
  </si>
  <si>
    <t>M1_単独</t>
    <rPh sb="3" eb="5">
      <t>タンドク</t>
    </rPh>
    <phoneticPr fontId="42"/>
  </si>
  <si>
    <t>M2_単独</t>
    <rPh sb="3" eb="5">
      <t>タンドク</t>
    </rPh>
    <phoneticPr fontId="42"/>
  </si>
  <si>
    <t>F2_同時</t>
    <rPh sb="3" eb="5">
      <t>ドウジ</t>
    </rPh>
    <phoneticPr fontId="42"/>
  </si>
  <si>
    <t>M1_同時</t>
    <rPh sb="3" eb="5">
      <t>ドウジ</t>
    </rPh>
    <phoneticPr fontId="42"/>
  </si>
  <si>
    <t>M2_同時</t>
    <rPh sb="3" eb="5">
      <t>ドウジ</t>
    </rPh>
    <phoneticPr fontId="42"/>
  </si>
  <si>
    <t>新規_通常</t>
    <rPh sb="0" eb="2">
      <t>シンキ</t>
    </rPh>
    <rPh sb="3" eb="5">
      <t>ツウジョウ</t>
    </rPh>
    <phoneticPr fontId="1"/>
  </si>
  <si>
    <t>再校正_通常</t>
    <rPh sb="0" eb="1">
      <t>サイ</t>
    </rPh>
    <rPh sb="1" eb="3">
      <t>コウセイ</t>
    </rPh>
    <rPh sb="4" eb="6">
      <t>ツウジョウ</t>
    </rPh>
    <phoneticPr fontId="1"/>
  </si>
  <si>
    <t>新規_免除</t>
    <rPh sb="0" eb="2">
      <t>シンキ</t>
    </rPh>
    <rPh sb="3" eb="5">
      <t>メンジョ</t>
    </rPh>
    <phoneticPr fontId="1"/>
  </si>
  <si>
    <t>再校正_免除</t>
    <rPh sb="0" eb="1">
      <t>サイ</t>
    </rPh>
    <rPh sb="1" eb="3">
      <t>コウセイ</t>
    </rPh>
    <rPh sb="4" eb="6">
      <t>メンジョ</t>
    </rPh>
    <phoneticPr fontId="1"/>
  </si>
  <si>
    <t>一級</t>
    <rPh sb="0" eb="2">
      <t>イッキュウ</t>
    </rPh>
    <phoneticPr fontId="42"/>
  </si>
  <si>
    <t>二級</t>
    <rPh sb="0" eb="2">
      <t>ニキュウ</t>
    </rPh>
    <phoneticPr fontId="42"/>
  </si>
  <si>
    <t>三級</t>
    <rPh sb="0" eb="2">
      <t>サンキュウ</t>
    </rPh>
    <phoneticPr fontId="42"/>
  </si>
  <si>
    <t>新規_単独</t>
    <rPh sb="0" eb="2">
      <t>シンキ</t>
    </rPh>
    <rPh sb="3" eb="5">
      <t>タンドク</t>
    </rPh>
    <phoneticPr fontId="1"/>
  </si>
  <si>
    <t>再検査_単独</t>
    <rPh sb="0" eb="3">
      <t>サイケンサ</t>
    </rPh>
    <rPh sb="4" eb="6">
      <t>タンドク</t>
    </rPh>
    <phoneticPr fontId="1"/>
  </si>
  <si>
    <t>新規_同時</t>
    <rPh sb="0" eb="2">
      <t>シンキ</t>
    </rPh>
    <rPh sb="3" eb="5">
      <t>ドウジ</t>
    </rPh>
    <phoneticPr fontId="1"/>
  </si>
  <si>
    <t>再検査_同時</t>
    <rPh sb="0" eb="3">
      <t>サイケンサ</t>
    </rPh>
    <rPh sb="4" eb="6">
      <t>ドウジ</t>
    </rPh>
    <phoneticPr fontId="1"/>
  </si>
  <si>
    <t>再検査_免除</t>
    <rPh sb="0" eb="3">
      <t>サイケンサ</t>
    </rPh>
    <rPh sb="4" eb="6">
      <t>メンジョ</t>
    </rPh>
    <phoneticPr fontId="1"/>
  </si>
  <si>
    <t>データ取込用</t>
    <rPh sb="3" eb="5">
      <t>トリコミ</t>
    </rPh>
    <rPh sb="5" eb="6">
      <t>ヨウ</t>
    </rPh>
    <phoneticPr fontId="1"/>
  </si>
  <si>
    <t>料金表</t>
    <rPh sb="0" eb="2">
      <t>リョウキン</t>
    </rPh>
    <rPh sb="2" eb="3">
      <t>ヒョウ</t>
    </rPh>
    <phoneticPr fontId="1"/>
  </si>
  <si>
    <t>不合格理由</t>
    <rPh sb="0" eb="3">
      <t>フゴウカク</t>
    </rPh>
    <rPh sb="3" eb="5">
      <t>リユウ</t>
    </rPh>
    <phoneticPr fontId="1"/>
  </si>
  <si>
    <t>申請日</t>
    <rPh sb="0" eb="2">
      <t>シンセイ</t>
    </rPh>
    <rPh sb="2" eb="3">
      <t>ビ</t>
    </rPh>
    <phoneticPr fontId="1"/>
  </si>
  <si>
    <t>区分</t>
    <rPh sb="0" eb="2">
      <t>クブン</t>
    </rPh>
    <phoneticPr fontId="1"/>
  </si>
  <si>
    <t>単独</t>
    <rPh sb="0" eb="2">
      <t>タンドク</t>
    </rPh>
    <phoneticPr fontId="1"/>
  </si>
  <si>
    <t>同時</t>
    <rPh sb="0" eb="2">
      <t>ドウジ</t>
    </rPh>
    <phoneticPr fontId="1"/>
  </si>
  <si>
    <t>器差</t>
    <rPh sb="0" eb="2">
      <t>キサ</t>
    </rPh>
    <phoneticPr fontId="42"/>
  </si>
  <si>
    <t>表記</t>
    <rPh sb="0" eb="2">
      <t>ヒョウキ</t>
    </rPh>
    <phoneticPr fontId="42"/>
  </si>
  <si>
    <t>等級</t>
    <rPh sb="0" eb="2">
      <t>トウキュウ</t>
    </rPh>
    <phoneticPr fontId="1"/>
  </si>
  <si>
    <t>材質</t>
    <rPh sb="0" eb="2">
      <t>ザイシツ</t>
    </rPh>
    <phoneticPr fontId="42"/>
  </si>
  <si>
    <t>メッキ</t>
  </si>
  <si>
    <t>緊着</t>
    <rPh sb="0" eb="1">
      <t>キンキュウ</t>
    </rPh>
    <rPh sb="1" eb="2">
      <t>チャク</t>
    </rPh>
    <phoneticPr fontId="42"/>
  </si>
  <si>
    <t>その他</t>
    <rPh sb="2" eb="3">
      <t>タ</t>
    </rPh>
    <phoneticPr fontId="42"/>
  </si>
  <si>
    <t>新品、修理品</t>
    <rPh sb="0" eb="2">
      <t>シンピン</t>
    </rPh>
    <rPh sb="3" eb="5">
      <t>シュウリ</t>
    </rPh>
    <rPh sb="5" eb="6">
      <t>ヒン</t>
    </rPh>
    <phoneticPr fontId="1"/>
  </si>
  <si>
    <t>手数料単価</t>
    <rPh sb="0" eb="3">
      <t>テスウリョウ</t>
    </rPh>
    <rPh sb="3" eb="5">
      <t>タンカ</t>
    </rPh>
    <phoneticPr fontId="1"/>
  </si>
  <si>
    <t>手数料</t>
    <rPh sb="0" eb="3">
      <t>テスウリョウ</t>
    </rPh>
    <phoneticPr fontId="1"/>
  </si>
  <si>
    <t>検定日</t>
    <rPh sb="0" eb="2">
      <t>ケンテイ</t>
    </rPh>
    <rPh sb="2" eb="3">
      <t>ビ</t>
    </rPh>
    <phoneticPr fontId="1"/>
  </si>
  <si>
    <t>定期検査</t>
    <rPh sb="0" eb="2">
      <t>テイキ</t>
    </rPh>
    <rPh sb="2" eb="4">
      <t>ケンサ</t>
    </rPh>
    <phoneticPr fontId="1"/>
  </si>
  <si>
    <t>法第43条の届出製造事業者の検査</t>
    <rPh sb="0" eb="1">
      <t>ホウ</t>
    </rPh>
    <rPh sb="1" eb="2">
      <t>ダイ</t>
    </rPh>
    <rPh sb="4" eb="5">
      <t>ジョウ</t>
    </rPh>
    <rPh sb="6" eb="8">
      <t>トドケデ</t>
    </rPh>
    <rPh sb="8" eb="10">
      <t>セイゾウ</t>
    </rPh>
    <rPh sb="10" eb="12">
      <t>ジギョウ</t>
    </rPh>
    <rPh sb="12" eb="13">
      <t>シャ</t>
    </rPh>
    <rPh sb="14" eb="16">
      <t>ケンサ</t>
    </rPh>
    <phoneticPr fontId="1"/>
  </si>
  <si>
    <t>法第47条の届出製造事業者又は届出修理事業者の検査</t>
    <rPh sb="0" eb="1">
      <t>ホウ</t>
    </rPh>
    <rPh sb="1" eb="2">
      <t>ダイ</t>
    </rPh>
    <rPh sb="4" eb="5">
      <t>ジョウ</t>
    </rPh>
    <rPh sb="6" eb="8">
      <t>トドケデ</t>
    </rPh>
    <rPh sb="8" eb="10">
      <t>セイゾウ</t>
    </rPh>
    <rPh sb="10" eb="13">
      <t>ジギョウシャ</t>
    </rPh>
    <rPh sb="13" eb="14">
      <t>マタ</t>
    </rPh>
    <rPh sb="15" eb="17">
      <t>トドケデ</t>
    </rPh>
    <rPh sb="17" eb="19">
      <t>シュウリ</t>
    </rPh>
    <rPh sb="19" eb="22">
      <t>ジギョウシャ</t>
    </rPh>
    <rPh sb="23" eb="25">
      <t>ケンサ</t>
    </rPh>
    <phoneticPr fontId="1"/>
  </si>
  <si>
    <t>計量証明検査</t>
    <rPh sb="0" eb="2">
      <t>ケイリョウ</t>
    </rPh>
    <rPh sb="2" eb="4">
      <t>ショウメイ</t>
    </rPh>
    <rPh sb="4" eb="6">
      <t>ケンサ</t>
    </rPh>
    <phoneticPr fontId="1"/>
  </si>
  <si>
    <t>法第19条第2項の法第128条第1号の規定による計量士が行う検査</t>
    <rPh sb="0" eb="1">
      <t>ホウ</t>
    </rPh>
    <rPh sb="1" eb="2">
      <t>ダイ</t>
    </rPh>
    <rPh sb="4" eb="5">
      <t>ジョウ</t>
    </rPh>
    <rPh sb="5" eb="6">
      <t>ダイ</t>
    </rPh>
    <rPh sb="7" eb="8">
      <t>コウ</t>
    </rPh>
    <rPh sb="9" eb="10">
      <t>ホウ</t>
    </rPh>
    <rPh sb="10" eb="11">
      <t>ダイ</t>
    </rPh>
    <rPh sb="14" eb="15">
      <t>ジョウ</t>
    </rPh>
    <rPh sb="15" eb="16">
      <t>ダイ</t>
    </rPh>
    <rPh sb="17" eb="18">
      <t>ゴウ</t>
    </rPh>
    <rPh sb="19" eb="21">
      <t>キテイ</t>
    </rPh>
    <rPh sb="24" eb="26">
      <t>ケイリョウ</t>
    </rPh>
    <rPh sb="26" eb="27">
      <t>シ</t>
    </rPh>
    <rPh sb="28" eb="29">
      <t>オコナ</t>
    </rPh>
    <rPh sb="30" eb="32">
      <t>ケンサ</t>
    </rPh>
    <phoneticPr fontId="1"/>
  </si>
  <si>
    <t>法第25条第1項の検則第58条の規定による計量士が行う検査</t>
    <rPh sb="0" eb="1">
      <t>ホウ</t>
    </rPh>
    <rPh sb="1" eb="2">
      <t>ダイ</t>
    </rPh>
    <rPh sb="4" eb="5">
      <t>ジョウ</t>
    </rPh>
    <rPh sb="5" eb="6">
      <t>ダイ</t>
    </rPh>
    <rPh sb="7" eb="8">
      <t>コウ</t>
    </rPh>
    <rPh sb="9" eb="10">
      <t>ケン</t>
    </rPh>
    <rPh sb="10" eb="11">
      <t>ソク</t>
    </rPh>
    <rPh sb="11" eb="12">
      <t>ダイ</t>
    </rPh>
    <rPh sb="14" eb="15">
      <t>ジョウ</t>
    </rPh>
    <rPh sb="16" eb="18">
      <t>キテイ</t>
    </rPh>
    <rPh sb="21" eb="23">
      <t>ケイリョウ</t>
    </rPh>
    <rPh sb="23" eb="24">
      <t>シ</t>
    </rPh>
    <rPh sb="25" eb="26">
      <t>オコナ</t>
    </rPh>
    <rPh sb="27" eb="29">
      <t>ケンサ</t>
    </rPh>
    <phoneticPr fontId="1"/>
  </si>
  <si>
    <t>法第116条第2項の法第128条第1号の規定による計量士が行う検査</t>
    <rPh sb="0" eb="1">
      <t>ホウ</t>
    </rPh>
    <rPh sb="1" eb="2">
      <t>ダイ</t>
    </rPh>
    <rPh sb="5" eb="6">
      <t>ジョウ</t>
    </rPh>
    <rPh sb="6" eb="7">
      <t>ダイ</t>
    </rPh>
    <rPh sb="8" eb="9">
      <t>コウ</t>
    </rPh>
    <rPh sb="10" eb="11">
      <t>ホウ</t>
    </rPh>
    <rPh sb="11" eb="12">
      <t>ダイ</t>
    </rPh>
    <rPh sb="15" eb="16">
      <t>ジョウ</t>
    </rPh>
    <rPh sb="16" eb="17">
      <t>ダイ</t>
    </rPh>
    <rPh sb="18" eb="19">
      <t>ゴウ</t>
    </rPh>
    <rPh sb="20" eb="22">
      <t>キテイ</t>
    </rPh>
    <rPh sb="25" eb="27">
      <t>ケイリョウ</t>
    </rPh>
    <rPh sb="27" eb="28">
      <t>シ</t>
    </rPh>
    <rPh sb="29" eb="30">
      <t>オコナ</t>
    </rPh>
    <rPh sb="31" eb="33">
      <t>ケンサ</t>
    </rPh>
    <phoneticPr fontId="1"/>
  </si>
  <si>
    <t>法第120条第1号の検則台62条第1号の規定による計量士が行う検査</t>
    <rPh sb="0" eb="1">
      <t>ホウ</t>
    </rPh>
    <rPh sb="1" eb="2">
      <t>ダイ</t>
    </rPh>
    <rPh sb="5" eb="6">
      <t>ジョウ</t>
    </rPh>
    <rPh sb="6" eb="7">
      <t>ダイ</t>
    </rPh>
    <rPh sb="8" eb="9">
      <t>ゴウ</t>
    </rPh>
    <rPh sb="10" eb="11">
      <t>ケン</t>
    </rPh>
    <rPh sb="11" eb="12">
      <t>ソク</t>
    </rPh>
    <rPh sb="12" eb="13">
      <t>ダイ</t>
    </rPh>
    <rPh sb="15" eb="16">
      <t>ジョウ</t>
    </rPh>
    <rPh sb="16" eb="17">
      <t>ダイ</t>
    </rPh>
    <rPh sb="18" eb="19">
      <t>ゴウ</t>
    </rPh>
    <rPh sb="20" eb="22">
      <t>キテイ</t>
    </rPh>
    <rPh sb="25" eb="27">
      <t>ケイリョウ</t>
    </rPh>
    <rPh sb="27" eb="28">
      <t>シ</t>
    </rPh>
    <rPh sb="29" eb="30">
      <t>オコナ</t>
    </rPh>
    <rPh sb="31" eb="33">
      <t>ケンサ</t>
    </rPh>
    <phoneticPr fontId="1"/>
  </si>
  <si>
    <t>校正範囲外</t>
    <rPh sb="0" eb="2">
      <t>コウセイ</t>
    </rPh>
    <rPh sb="2" eb="4">
      <t>ハンイ</t>
    </rPh>
    <rPh sb="4" eb="5">
      <t>ガイ</t>
    </rPh>
    <phoneticPr fontId="1"/>
  </si>
  <si>
    <t>表記</t>
    <phoneticPr fontId="1"/>
  </si>
  <si>
    <t>材質</t>
    <phoneticPr fontId="1"/>
  </si>
  <si>
    <t>メッキ</t>
    <phoneticPr fontId="1"/>
  </si>
  <si>
    <t>緊着</t>
    <phoneticPr fontId="1"/>
  </si>
  <si>
    <t>その他</t>
    <phoneticPr fontId="1"/>
  </si>
  <si>
    <t>枝番</t>
    <rPh sb="0" eb="2">
      <t>エダバン</t>
    </rPh>
    <phoneticPr fontId="1"/>
  </si>
  <si>
    <t>JCSS</t>
    <phoneticPr fontId="1"/>
  </si>
  <si>
    <t>不合格理由</t>
    <phoneticPr fontId="1"/>
  </si>
  <si>
    <t>品質管理課　担当三郎</t>
    <rPh sb="0" eb="2">
      <t>ヒンシツ</t>
    </rPh>
    <rPh sb="2" eb="4">
      <t>カンリ</t>
    </rPh>
    <rPh sb="4" eb="5">
      <t>カ</t>
    </rPh>
    <rPh sb="6" eb="8">
      <t>タントウ</t>
    </rPh>
    <rPh sb="8" eb="10">
      <t>サブロウ</t>
    </rPh>
    <phoneticPr fontId="1"/>
  </si>
  <si>
    <t>申請情報</t>
    <rPh sb="0" eb="2">
      <t>シンセイ</t>
    </rPh>
    <rPh sb="2" eb="4">
      <t>ジョウホウ</t>
    </rPh>
    <phoneticPr fontId="1"/>
  </si>
  <si>
    <t>実績情報</t>
    <rPh sb="0" eb="2">
      <t>ジッセキ</t>
    </rPh>
    <rPh sb="2" eb="4">
      <t>ジョウホウ</t>
    </rPh>
    <phoneticPr fontId="1"/>
  </si>
  <si>
    <t>申請番号</t>
    <rPh sb="0" eb="2">
      <t>シンセイ</t>
    </rPh>
    <rPh sb="2" eb="4">
      <t>バンゴウ</t>
    </rPh>
    <phoneticPr fontId="1"/>
  </si>
  <si>
    <t>依頼人</t>
    <rPh sb="0" eb="3">
      <t>イライニン</t>
    </rPh>
    <phoneticPr fontId="1"/>
  </si>
  <si>
    <t>依頼人
住所</t>
    <rPh sb="0" eb="3">
      <t>イライニン</t>
    </rPh>
    <rPh sb="4" eb="6">
      <t>ジュウショ</t>
    </rPh>
    <phoneticPr fontId="1"/>
  </si>
  <si>
    <t>申請数</t>
    <rPh sb="0" eb="2">
      <t>シンセイ</t>
    </rPh>
    <rPh sb="2" eb="3">
      <t>スウ</t>
    </rPh>
    <phoneticPr fontId="1"/>
  </si>
  <si>
    <t>再申請</t>
    <rPh sb="0" eb="3">
      <t>サイシンセイ</t>
    </rPh>
    <phoneticPr fontId="1"/>
  </si>
  <si>
    <t>電子/窓口</t>
    <rPh sb="0" eb="2">
      <t>デンシ</t>
    </rPh>
    <rPh sb="3" eb="5">
      <t>マドグチ</t>
    </rPh>
    <phoneticPr fontId="1"/>
  </si>
  <si>
    <t>大分類</t>
    <rPh sb="0" eb="1">
      <t>ダイ</t>
    </rPh>
    <rPh sb="1" eb="3">
      <t>ブンルイ</t>
    </rPh>
    <phoneticPr fontId="1"/>
  </si>
  <si>
    <t>中分類</t>
    <rPh sb="0" eb="3">
      <t>チュウブンルイ</t>
    </rPh>
    <phoneticPr fontId="1"/>
  </si>
  <si>
    <t>小分類</t>
    <rPh sb="0" eb="3">
      <t>ショウブンルイ</t>
    </rPh>
    <phoneticPr fontId="1"/>
  </si>
  <si>
    <t>新品／修理</t>
    <rPh sb="0" eb="2">
      <t>シンピン</t>
    </rPh>
    <rPh sb="3" eb="5">
      <t>シュウリ</t>
    </rPh>
    <phoneticPr fontId="1"/>
  </si>
  <si>
    <t>加算手数料</t>
    <rPh sb="0" eb="2">
      <t>カサン</t>
    </rPh>
    <rPh sb="2" eb="5">
      <t>テスウリョウ</t>
    </rPh>
    <phoneticPr fontId="1"/>
  </si>
  <si>
    <t>免除</t>
    <rPh sb="0" eb="2">
      <t>メンジョ</t>
    </rPh>
    <phoneticPr fontId="1"/>
  </si>
  <si>
    <t>検定予定日</t>
    <rPh sb="0" eb="2">
      <t>ケンテイ</t>
    </rPh>
    <rPh sb="2" eb="5">
      <t>ヨテイビ</t>
    </rPh>
    <phoneticPr fontId="1"/>
  </si>
  <si>
    <t>担当</t>
    <rPh sb="0" eb="2">
      <t>タントウ</t>
    </rPh>
    <phoneticPr fontId="1"/>
  </si>
  <si>
    <t>検定数</t>
    <rPh sb="0" eb="2">
      <t>ケンテイ</t>
    </rPh>
    <rPh sb="2" eb="3">
      <t>スウ</t>
    </rPh>
    <phoneticPr fontId="1"/>
  </si>
  <si>
    <t>不合格数</t>
    <rPh sb="0" eb="3">
      <t>フゴウカク</t>
    </rPh>
    <rPh sb="3" eb="4">
      <t>スウ</t>
    </rPh>
    <phoneticPr fontId="1"/>
  </si>
  <si>
    <t>検定者1</t>
    <rPh sb="0" eb="2">
      <t>ケンテイ</t>
    </rPh>
    <rPh sb="2" eb="3">
      <t>シャ</t>
    </rPh>
    <phoneticPr fontId="1"/>
  </si>
  <si>
    <t>検定者2</t>
    <rPh sb="0" eb="2">
      <t>ケンテイ</t>
    </rPh>
    <rPh sb="2" eb="3">
      <t>シャ</t>
    </rPh>
    <phoneticPr fontId="1"/>
  </si>
  <si>
    <t>検定者3</t>
    <rPh sb="0" eb="2">
      <t>ケンテイ</t>
    </rPh>
    <rPh sb="2" eb="3">
      <t>シャ</t>
    </rPh>
    <phoneticPr fontId="1"/>
  </si>
  <si>
    <t>成績書
番号</t>
    <rPh sb="0" eb="2">
      <t>セイセキ</t>
    </rPh>
    <rPh sb="2" eb="3">
      <t>ショ</t>
    </rPh>
    <rPh sb="4" eb="6">
      <t>バンゴウ</t>
    </rPh>
    <phoneticPr fontId="1"/>
  </si>
  <si>
    <t>発行日</t>
    <rPh sb="0" eb="2">
      <t>ハッコウ</t>
    </rPh>
    <rPh sb="2" eb="3">
      <t>ビ</t>
    </rPh>
    <phoneticPr fontId="1"/>
  </si>
  <si>
    <t>発行
部数</t>
    <rPh sb="0" eb="2">
      <t>ハッコウ</t>
    </rPh>
    <rPh sb="3" eb="5">
      <t>ブスウ</t>
    </rPh>
    <phoneticPr fontId="1"/>
  </si>
  <si>
    <t>理由1</t>
    <rPh sb="0" eb="2">
      <t>リユウ</t>
    </rPh>
    <phoneticPr fontId="1"/>
  </si>
  <si>
    <t>理由2</t>
    <rPh sb="0" eb="2">
      <t>リユウ</t>
    </rPh>
    <phoneticPr fontId="1"/>
  </si>
  <si>
    <t>理由3</t>
    <rPh sb="0" eb="2">
      <t>リユウ</t>
    </rPh>
    <phoneticPr fontId="1"/>
  </si>
  <si>
    <t>理由4</t>
    <rPh sb="0" eb="2">
      <t>リユウ</t>
    </rPh>
    <phoneticPr fontId="1"/>
  </si>
  <si>
    <t>理由5</t>
    <rPh sb="0" eb="2">
      <t>リユウ</t>
    </rPh>
    <phoneticPr fontId="1"/>
  </si>
  <si>
    <t>理由6</t>
    <rPh sb="0" eb="2">
      <t>リユウ</t>
    </rPh>
    <phoneticPr fontId="1"/>
  </si>
  <si>
    <t>理由7</t>
    <rPh sb="0" eb="2">
      <t>リユウ</t>
    </rPh>
    <phoneticPr fontId="1"/>
  </si>
  <si>
    <t>理由8</t>
    <rPh sb="0" eb="2">
      <t>リユウ</t>
    </rPh>
    <phoneticPr fontId="1"/>
  </si>
  <si>
    <t>理由9</t>
    <rPh sb="0" eb="2">
      <t>リユウ</t>
    </rPh>
    <phoneticPr fontId="1"/>
  </si>
  <si>
    <t>理由10</t>
    <rPh sb="0" eb="2">
      <t>リユウ</t>
    </rPh>
    <phoneticPr fontId="1"/>
  </si>
  <si>
    <t>一級(F2)</t>
  </si>
  <si>
    <t>代表取締役　所有太郎</t>
    <rPh sb="0" eb="5">
      <t>ダイヒョウトリシマリヤク</t>
    </rPh>
    <rPh sb="6" eb="8">
      <t>ショユウ</t>
    </rPh>
    <rPh sb="8" eb="10">
      <t>タロウ</t>
    </rPh>
    <phoneticPr fontId="1"/>
  </si>
  <si>
    <t>非表示→</t>
    <rPh sb="0" eb="3">
      <t>ヒヒョウジ</t>
    </rPh>
    <phoneticPr fontId="1"/>
  </si>
  <si>
    <t>←非表示</t>
    <rPh sb="1" eb="4">
      <t>ヒヒョウジ</t>
    </rPh>
    <phoneticPr fontId="1"/>
  </si>
  <si>
    <t>所有者</t>
    <rPh sb="0" eb="3">
      <t>ショユウシャ</t>
    </rPh>
    <phoneticPr fontId="1"/>
  </si>
  <si>
    <t>申請者</t>
    <rPh sb="0" eb="3">
      <t>シンセイシャ</t>
    </rPh>
    <phoneticPr fontId="1"/>
  </si>
  <si>
    <t>担当者</t>
    <rPh sb="0" eb="3">
      <t>タントウシャ</t>
    </rPh>
    <phoneticPr fontId="1"/>
  </si>
  <si>
    <t>お名前1</t>
    <rPh sb="1" eb="3">
      <t>ナマエ</t>
    </rPh>
    <phoneticPr fontId="1"/>
  </si>
  <si>
    <t>お名前2</t>
    <rPh sb="1" eb="3">
      <t>ナマエ</t>
    </rPh>
    <phoneticPr fontId="1"/>
  </si>
  <si>
    <t>ご住所</t>
    <rPh sb="1" eb="3">
      <t>ジュウショ</t>
    </rPh>
    <phoneticPr fontId="1"/>
  </si>
  <si>
    <t>株式会社○○、所有太郎</t>
    <rPh sb="0" eb="4">
      <t>カブシキガイシャ</t>
    </rPh>
    <rPh sb="9" eb="11">
      <t>タロウ</t>
    </rPh>
    <phoneticPr fontId="1"/>
  </si>
  <si>
    <t>東京都××市○○-△△-□□</t>
    <rPh sb="5" eb="6">
      <t>シ</t>
    </rPh>
    <phoneticPr fontId="1"/>
  </si>
  <si>
    <t>申請で器物を持込まれるお日付</t>
    <rPh sb="0" eb="2">
      <t>シンセイ</t>
    </rPh>
    <rPh sb="3" eb="5">
      <t>キブツ</t>
    </rPh>
    <rPh sb="6" eb="8">
      <t>モチコ</t>
    </rPh>
    <rPh sb="12" eb="14">
      <t>ヒヅケ</t>
    </rPh>
    <phoneticPr fontId="1"/>
  </si>
  <si>
    <t>株式会社××、担当三郎</t>
    <rPh sb="0" eb="2">
      <t>カブシキ</t>
    </rPh>
    <rPh sb="2" eb="4">
      <t>カイシャ</t>
    </rPh>
    <phoneticPr fontId="1"/>
  </si>
  <si>
    <t>株式会社××、申請次郎</t>
    <rPh sb="0" eb="2">
      <t>カブシキ</t>
    </rPh>
    <rPh sb="2" eb="4">
      <t>カイシャ</t>
    </rPh>
    <phoneticPr fontId="1"/>
  </si>
  <si>
    <t>東京支店長　申請次郎</t>
    <rPh sb="0" eb="2">
      <t>トウキョウ</t>
    </rPh>
    <rPh sb="2" eb="5">
      <t>シテンチョウ</t>
    </rPh>
    <rPh sb="6" eb="8">
      <t>シンセイ</t>
    </rPh>
    <rPh sb="8" eb="10">
      <t>ジロウ</t>
    </rPh>
    <phoneticPr fontId="1"/>
  </si>
  <si>
    <t>実際に申請される方のお名前・ご住所をご記入ください。
分銅所有者が申請される場合は記載不要となります。
JCSS校正のみの方は委任状は不要となります。</t>
    <rPh sb="0" eb="2">
      <t>ジッサイ</t>
    </rPh>
    <rPh sb="3" eb="5">
      <t>シンセイ</t>
    </rPh>
    <rPh sb="8" eb="9">
      <t>カタ</t>
    </rPh>
    <rPh sb="11" eb="13">
      <t>ナマエ</t>
    </rPh>
    <rPh sb="15" eb="17">
      <t>ジュウショ</t>
    </rPh>
    <rPh sb="19" eb="21">
      <t>キニュウ</t>
    </rPh>
    <rPh sb="27" eb="29">
      <t>フンドウ</t>
    </rPh>
    <rPh sb="29" eb="32">
      <t>ショユウシャ</t>
    </rPh>
    <rPh sb="33" eb="35">
      <t>シンセイ</t>
    </rPh>
    <rPh sb="38" eb="40">
      <t>バアイ</t>
    </rPh>
    <rPh sb="41" eb="43">
      <t>キサイ</t>
    </rPh>
    <rPh sb="43" eb="45">
      <t>フヨウ</t>
    </rPh>
    <rPh sb="56" eb="58">
      <t>コウセイ</t>
    </rPh>
    <rPh sb="61" eb="62">
      <t>カタ</t>
    </rPh>
    <rPh sb="63" eb="66">
      <t>イニンジョウ</t>
    </rPh>
    <rPh sb="67" eb="69">
      <t>フヨウ</t>
    </rPh>
    <phoneticPr fontId="1"/>
  </si>
  <si>
    <r>
      <rPr>
        <sz val="11"/>
        <color rgb="FFFF0000"/>
        <rFont val="游ゴシック"/>
        <family val="3"/>
        <charset val="128"/>
        <scheme val="minor"/>
      </rPr>
      <t>※必須</t>
    </r>
    <r>
      <rPr>
        <sz val="11"/>
        <color theme="1"/>
        <rFont val="游ゴシック"/>
        <family val="2"/>
        <charset val="128"/>
        <scheme val="minor"/>
      </rPr>
      <t xml:space="preserve">
分銅所有者のお名前・ご住所をご記入ください。</t>
    </r>
    <rPh sb="4" eb="6">
      <t>フンドウ</t>
    </rPh>
    <rPh sb="6" eb="9">
      <t>ショユウシャ</t>
    </rPh>
    <rPh sb="11" eb="13">
      <t>ナマエ</t>
    </rPh>
    <rPh sb="15" eb="17">
      <t>ジュウショ</t>
    </rPh>
    <rPh sb="19" eb="21">
      <t>キニュウ</t>
    </rPh>
    <phoneticPr fontId="1"/>
  </si>
  <si>
    <r>
      <rPr>
        <sz val="11"/>
        <color rgb="FFFF0000"/>
        <rFont val="游ゴシック"/>
        <family val="3"/>
        <charset val="128"/>
        <scheme val="minor"/>
      </rPr>
      <t>※必須</t>
    </r>
    <r>
      <rPr>
        <sz val="11"/>
        <color theme="1"/>
        <rFont val="游ゴシック"/>
        <family val="2"/>
        <charset val="128"/>
        <scheme val="minor"/>
      </rPr>
      <t xml:space="preserve">
実際に申請・連絡調整を担当される方のお名前・ご連絡先をご記入ください。</t>
    </r>
    <rPh sb="4" eb="6">
      <t>ジッサイ</t>
    </rPh>
    <rPh sb="7" eb="9">
      <t>シンセイ</t>
    </rPh>
    <rPh sb="10" eb="12">
      <t>レンラク</t>
    </rPh>
    <rPh sb="12" eb="14">
      <t>チョウセイ</t>
    </rPh>
    <rPh sb="15" eb="17">
      <t>タントウ</t>
    </rPh>
    <rPh sb="20" eb="21">
      <t>カタ</t>
    </rPh>
    <rPh sb="23" eb="25">
      <t>ナマエ</t>
    </rPh>
    <rPh sb="27" eb="30">
      <t>レンラクサキ</t>
    </rPh>
    <rPh sb="32" eb="34">
      <t>キニュウ</t>
    </rPh>
    <phoneticPr fontId="1"/>
  </si>
  <si>
    <t>分銅製造者</t>
    <phoneticPr fontId="1"/>
  </si>
  <si>
    <t>不明の場合は空欄で問題ありません。</t>
    <rPh sb="0" eb="2">
      <t>フメイ</t>
    </rPh>
    <rPh sb="3" eb="5">
      <t>バアイ</t>
    </rPh>
    <rPh sb="6" eb="8">
      <t>クウラン</t>
    </rPh>
    <rPh sb="9" eb="11">
      <t>モンダイ</t>
    </rPh>
    <phoneticPr fontId="1"/>
  </si>
  <si>
    <t>JCSS</t>
  </si>
  <si>
    <t>二級(M1)</t>
  </si>
  <si>
    <t>基準分銅</t>
  </si>
  <si>
    <t>基準分銅(JCSS同時申請)</t>
  </si>
  <si>
    <t>三級(M2)</t>
  </si>
  <si>
    <t>納付日</t>
    <rPh sb="0" eb="2">
      <t>ノウフ</t>
    </rPh>
    <rPh sb="2" eb="3">
      <t>ビ</t>
    </rPh>
    <phoneticPr fontId="1"/>
  </si>
  <si>
    <t>再検定</t>
    <rPh sb="0" eb="3">
      <t>サイケンテイ</t>
    </rPh>
    <phoneticPr fontId="1"/>
  </si>
  <si>
    <t>分銅は質量が重いものから軽いものへ、順に記載お願いいたします。</t>
    <rPh sb="0" eb="2">
      <t>フンドウ</t>
    </rPh>
    <rPh sb="3" eb="5">
      <t>シツリョウ</t>
    </rPh>
    <rPh sb="6" eb="7">
      <t>オモ</t>
    </rPh>
    <rPh sb="12" eb="13">
      <t>カル</t>
    </rPh>
    <rPh sb="18" eb="19">
      <t>ジュン</t>
    </rPh>
    <rPh sb="20" eb="22">
      <t>キサイ</t>
    </rPh>
    <rPh sb="23" eb="24">
      <t>ネガ</t>
    </rPh>
    <phoneticPr fontId="1"/>
  </si>
  <si>
    <t>判定</t>
    <rPh sb="0" eb="2">
      <t>ハンテイ</t>
    </rPh>
    <phoneticPr fontId="1"/>
  </si>
  <si>
    <t>申請者が国もしくは地方公共団体の場合は減免対象となります。</t>
    <rPh sb="0" eb="3">
      <t>シンセイシャ</t>
    </rPh>
    <rPh sb="4" eb="5">
      <t>クニ</t>
    </rPh>
    <rPh sb="9" eb="11">
      <t>チホウ</t>
    </rPh>
    <rPh sb="11" eb="13">
      <t>コウキョウ</t>
    </rPh>
    <rPh sb="13" eb="15">
      <t>ダンタイ</t>
    </rPh>
    <rPh sb="16" eb="18">
      <t>バアイ</t>
    </rPh>
    <rPh sb="19" eb="21">
      <t>ゲンメン</t>
    </rPh>
    <rPh sb="21" eb="23">
      <t>タイショウ</t>
    </rPh>
    <phoneticPr fontId="1"/>
  </si>
  <si>
    <t>クリーンルーム</t>
    <phoneticPr fontId="1"/>
  </si>
  <si>
    <t>協定質量</t>
    <rPh sb="2" eb="4">
      <t>シツリョウ</t>
    </rPh>
    <phoneticPr fontId="1"/>
  </si>
  <si>
    <t>東京都質量標準校正事業　品質マニュアルによる</t>
    <phoneticPr fontId="1"/>
  </si>
  <si>
    <t>　東京都質量標準校正事業「常用参照標準等管理規程」及び、「校正用機
器管理規程」で管理された以下の機器</t>
    <phoneticPr fontId="1"/>
  </si>
  <si>
    <r>
      <rPr>
        <sz val="10"/>
        <color rgb="FF000000"/>
        <rFont val="ＭＳ 明朝"/>
        <family val="1"/>
        <charset val="128"/>
      </rPr>
      <t>④</t>
    </r>
    <r>
      <rPr>
        <sz val="10"/>
        <color rgb="FF000000"/>
        <rFont val="Century"/>
        <family val="1"/>
      </rPr>
      <t>F</t>
    </r>
    <r>
      <rPr>
        <vertAlign val="subscript"/>
        <sz val="10"/>
        <color rgb="FF000000"/>
        <rFont val="Century"/>
        <family val="1"/>
      </rPr>
      <t>2</t>
    </r>
    <r>
      <rPr>
        <sz val="10"/>
        <color rgb="FF000000"/>
        <rFont val="ＭＳ 明朝"/>
        <family val="1"/>
        <charset val="128"/>
      </rPr>
      <t>級</t>
    </r>
    <phoneticPr fontId="1"/>
  </si>
  <si>
    <r>
      <rPr>
        <sz val="10"/>
        <color rgb="FF000000"/>
        <rFont val="ＭＳ 明朝"/>
        <family val="1"/>
        <charset val="128"/>
      </rPr>
      <t>⑤</t>
    </r>
    <r>
      <rPr>
        <sz val="10"/>
        <color rgb="FF000000"/>
        <rFont val="Century"/>
        <family val="1"/>
      </rPr>
      <t>F</t>
    </r>
    <r>
      <rPr>
        <vertAlign val="subscript"/>
        <sz val="10"/>
        <color rgb="FF000000"/>
        <rFont val="Century"/>
        <family val="1"/>
      </rPr>
      <t>2</t>
    </r>
    <r>
      <rPr>
        <sz val="10"/>
        <color rgb="FF000000"/>
        <rFont val="ＭＳ 明朝"/>
        <family val="1"/>
        <charset val="128"/>
      </rPr>
      <t>級</t>
    </r>
    <phoneticPr fontId="1"/>
  </si>
  <si>
    <r>
      <rPr>
        <sz val="10"/>
        <color rgb="FF000000"/>
        <rFont val="ＭＳ 明朝"/>
        <family val="1"/>
        <charset val="128"/>
      </rPr>
      <t>①</t>
    </r>
    <r>
      <rPr>
        <sz val="10"/>
        <color rgb="FF000000"/>
        <rFont val="Century"/>
        <family val="1"/>
      </rPr>
      <t>F</t>
    </r>
    <r>
      <rPr>
        <vertAlign val="subscript"/>
        <sz val="10"/>
        <color rgb="FF000000"/>
        <rFont val="Century"/>
        <family val="1"/>
      </rPr>
      <t>1</t>
    </r>
    <r>
      <rPr>
        <sz val="10"/>
        <color rgb="FF000000"/>
        <rFont val="ＭＳ 明朝"/>
        <family val="1"/>
        <charset val="128"/>
      </rPr>
      <t>級</t>
    </r>
    <phoneticPr fontId="1"/>
  </si>
  <si>
    <r>
      <rPr>
        <sz val="10"/>
        <color rgb="FF000000"/>
        <rFont val="ＭＳ 明朝"/>
        <family val="1"/>
        <charset val="128"/>
      </rPr>
      <t>②</t>
    </r>
    <r>
      <rPr>
        <sz val="10"/>
        <color rgb="FF000000"/>
        <rFont val="Century"/>
        <family val="1"/>
      </rPr>
      <t>F</t>
    </r>
    <r>
      <rPr>
        <vertAlign val="subscript"/>
        <sz val="10"/>
        <color rgb="FF000000"/>
        <rFont val="Century"/>
        <family val="1"/>
      </rPr>
      <t>1</t>
    </r>
    <r>
      <rPr>
        <sz val="10"/>
        <color rgb="FF000000"/>
        <rFont val="ＭＳ 明朝"/>
        <family val="1"/>
        <charset val="128"/>
      </rPr>
      <t>級</t>
    </r>
  </si>
  <si>
    <r>
      <rPr>
        <sz val="10"/>
        <color rgb="FF000000"/>
        <rFont val="ＭＳ 明朝"/>
        <family val="1"/>
        <charset val="128"/>
      </rPr>
      <t>③</t>
    </r>
    <r>
      <rPr>
        <sz val="10"/>
        <color rgb="FF000000"/>
        <rFont val="Century"/>
        <family val="1"/>
      </rPr>
      <t>F</t>
    </r>
    <r>
      <rPr>
        <vertAlign val="subscript"/>
        <sz val="10"/>
        <color rgb="FF000000"/>
        <rFont val="Century"/>
        <family val="1"/>
      </rPr>
      <t>2</t>
    </r>
    <r>
      <rPr>
        <sz val="10"/>
        <color rgb="FF000000"/>
        <rFont val="ＭＳ 明朝"/>
        <family val="1"/>
        <charset val="128"/>
      </rPr>
      <t>級</t>
    </r>
  </si>
  <si>
    <r>
      <rPr>
        <sz val="10"/>
        <color rgb="FF000000"/>
        <rFont val="ＭＳ 明朝"/>
        <family val="1"/>
        <charset val="128"/>
      </rPr>
      <t>：</t>
    </r>
    <r>
      <rPr>
        <sz val="10"/>
        <color rgb="FF000000"/>
        <rFont val="Century"/>
        <family val="1"/>
      </rPr>
      <t>2 kg</t>
    </r>
    <r>
      <rPr>
        <sz val="10"/>
        <color rgb="FF000000"/>
        <rFont val="ＭＳ 明朝"/>
        <family val="1"/>
        <charset val="128"/>
      </rPr>
      <t>～</t>
    </r>
    <r>
      <rPr>
        <sz val="10"/>
        <color rgb="FF000000"/>
        <rFont val="Century"/>
        <family val="1"/>
      </rPr>
      <t>20 kg</t>
    </r>
    <r>
      <rPr>
        <sz val="10"/>
        <color rgb="FF000000"/>
        <rFont val="ＭＳ 明朝"/>
        <family val="1"/>
        <charset val="128"/>
      </rPr>
      <t>＜円筒形・直方体＞</t>
    </r>
    <rPh sb="12" eb="15">
      <t>エントウケイ</t>
    </rPh>
    <rPh sb="16" eb="19">
      <t>チョクホウタイ</t>
    </rPh>
    <phoneticPr fontId="1"/>
  </si>
  <si>
    <r>
      <rPr>
        <sz val="10"/>
        <color rgb="FF000000"/>
        <rFont val="ＭＳ 明朝"/>
        <family val="1"/>
        <charset val="128"/>
      </rPr>
      <t>：</t>
    </r>
    <r>
      <rPr>
        <sz val="10"/>
        <color rgb="FF000000"/>
        <rFont val="Century"/>
        <family val="1"/>
      </rPr>
      <t>1 mg</t>
    </r>
    <r>
      <rPr>
        <sz val="10"/>
        <color rgb="FF000000"/>
        <rFont val="ＭＳ 明朝"/>
        <family val="1"/>
        <charset val="128"/>
      </rPr>
      <t>～</t>
    </r>
    <r>
      <rPr>
        <sz val="10"/>
        <color rgb="FF000000"/>
        <rFont val="Century"/>
        <family val="1"/>
      </rPr>
      <t>20 kg</t>
    </r>
    <r>
      <rPr>
        <sz val="10"/>
        <color rgb="FF000000"/>
        <rFont val="ＭＳ 明朝"/>
        <family val="1"/>
        <charset val="128"/>
      </rPr>
      <t>＜円筒形・線状＞</t>
    </r>
    <phoneticPr fontId="1"/>
  </si>
  <si>
    <r>
      <rPr>
        <sz val="10"/>
        <color rgb="FF000000"/>
        <rFont val="ＭＳ 明朝"/>
        <family val="1"/>
        <charset val="128"/>
      </rPr>
      <t>：</t>
    </r>
    <r>
      <rPr>
        <sz val="10"/>
        <color rgb="FF000000"/>
        <rFont val="Century"/>
        <family val="1"/>
      </rPr>
      <t>20 kg</t>
    </r>
    <r>
      <rPr>
        <sz val="10"/>
        <color rgb="FF000000"/>
        <rFont val="ＭＳ 明朝"/>
        <family val="1"/>
        <charset val="128"/>
      </rPr>
      <t>＜直方体（</t>
    </r>
    <r>
      <rPr>
        <sz val="10"/>
        <color rgb="FF000000"/>
        <rFont val="Century"/>
        <family val="1"/>
      </rPr>
      <t>50</t>
    </r>
    <r>
      <rPr>
        <sz val="10"/>
        <color rgb="FF000000"/>
        <rFont val="ＭＳ 明朝"/>
        <family val="1"/>
        <charset val="128"/>
      </rPr>
      <t>個組合せ）＞</t>
    </r>
    <phoneticPr fontId="1"/>
  </si>
  <si>
    <r>
      <rPr>
        <sz val="10"/>
        <color rgb="FF000000"/>
        <rFont val="ＭＳ 明朝"/>
        <family val="1"/>
        <charset val="128"/>
      </rPr>
      <t>：</t>
    </r>
    <r>
      <rPr>
        <sz val="10"/>
        <color rgb="FF000000"/>
        <rFont val="Century"/>
        <family val="1"/>
      </rPr>
      <t>1000 kg</t>
    </r>
    <r>
      <rPr>
        <sz val="10"/>
        <color rgb="FF000000"/>
        <rFont val="ＭＳ 明朝"/>
        <family val="1"/>
        <charset val="128"/>
      </rPr>
      <t>＜円筒形＞</t>
    </r>
    <rPh sb="9" eb="12">
      <t>エントウケイ</t>
    </rPh>
    <phoneticPr fontId="1"/>
  </si>
  <si>
    <r>
      <rPr>
        <sz val="10"/>
        <color rgb="FF000000"/>
        <rFont val="ＭＳ 明朝"/>
        <family val="1"/>
        <charset val="128"/>
      </rPr>
      <t>：</t>
    </r>
    <r>
      <rPr>
        <sz val="10"/>
        <color rgb="FF000000"/>
        <rFont val="Century"/>
        <family val="1"/>
      </rPr>
      <t>500 kg</t>
    </r>
    <r>
      <rPr>
        <sz val="10"/>
        <color rgb="FF000000"/>
        <rFont val="ＭＳ 明朝"/>
        <family val="1"/>
        <charset val="128"/>
      </rPr>
      <t>＜円筒形＞</t>
    </r>
    <rPh sb="8" eb="11">
      <t>エントウケイ</t>
    </rPh>
    <phoneticPr fontId="1"/>
  </si>
  <si>
    <r>
      <rPr>
        <sz val="10.5"/>
        <color rgb="FF000000"/>
        <rFont val="ＭＳ 明朝"/>
        <family val="1"/>
        <charset val="128"/>
      </rPr>
      <t>　　　　　測定能力：最小</t>
    </r>
    <r>
      <rPr>
        <sz val="10.5"/>
        <color rgb="FF000000"/>
        <rFont val="Century"/>
        <family val="1"/>
      </rPr>
      <t>1 mg</t>
    </r>
    <r>
      <rPr>
        <sz val="10.5"/>
        <color rgb="FF000000"/>
        <rFont val="ＭＳ 明朝"/>
        <family val="1"/>
        <charset val="128"/>
      </rPr>
      <t>～最大</t>
    </r>
    <r>
      <rPr>
        <sz val="10.5"/>
        <color rgb="FF000000"/>
        <rFont val="Century"/>
        <family val="1"/>
      </rPr>
      <t>1000 kg</t>
    </r>
    <r>
      <rPr>
        <sz val="10.5"/>
        <color rgb="FF000000"/>
        <rFont val="ＭＳ 明朝"/>
        <family val="1"/>
        <charset val="128"/>
      </rPr>
      <t>まで</t>
    </r>
    <phoneticPr fontId="1"/>
  </si>
  <si>
    <t>　　年　 月　 日</t>
    <phoneticPr fontId="1"/>
  </si>
  <si>
    <t>　 申請依頼者氏名</t>
    <phoneticPr fontId="1"/>
  </si>
  <si>
    <r>
      <rPr>
        <sz val="10"/>
        <color theme="1"/>
        <rFont val="ＭＳ Ｐ明朝"/>
        <family val="1"/>
        <charset val="128"/>
      </rPr>
      <t>　</t>
    </r>
    <r>
      <rPr>
        <sz val="10"/>
        <color theme="1"/>
        <rFont val="Century"/>
        <family val="1"/>
      </rPr>
      <t>F</t>
    </r>
    <r>
      <rPr>
        <vertAlign val="subscript"/>
        <sz val="9"/>
        <color theme="1"/>
        <rFont val="Century"/>
        <family val="1"/>
      </rPr>
      <t xml:space="preserve">2 </t>
    </r>
    <r>
      <rPr>
        <sz val="10"/>
        <color theme="1"/>
        <rFont val="ＭＳ 明朝"/>
        <family val="1"/>
        <charset val="128"/>
      </rPr>
      <t>級（</t>
    </r>
    <r>
      <rPr>
        <sz val="10"/>
        <color theme="1"/>
        <rFont val="Century"/>
        <family val="1"/>
      </rPr>
      <t>1 mg</t>
    </r>
    <r>
      <rPr>
        <sz val="10"/>
        <color theme="1"/>
        <rFont val="ＭＳ 明朝"/>
        <family val="1"/>
        <charset val="128"/>
      </rPr>
      <t>～</t>
    </r>
    <r>
      <rPr>
        <sz val="10"/>
        <color theme="1"/>
        <rFont val="Century"/>
        <family val="1"/>
      </rPr>
      <t>20 kg</t>
    </r>
    <r>
      <rPr>
        <sz val="10"/>
        <color theme="1"/>
        <rFont val="ＭＳ 明朝"/>
        <family val="1"/>
        <charset val="128"/>
      </rPr>
      <t>）、</t>
    </r>
    <r>
      <rPr>
        <sz val="10"/>
        <color theme="1"/>
        <rFont val="Century"/>
        <family val="1"/>
      </rPr>
      <t>M</t>
    </r>
    <r>
      <rPr>
        <vertAlign val="subscript"/>
        <sz val="9"/>
        <color theme="1"/>
        <rFont val="Century"/>
        <family val="1"/>
      </rPr>
      <t>1</t>
    </r>
    <r>
      <rPr>
        <sz val="10"/>
        <color theme="1"/>
        <rFont val="ＭＳ 明朝"/>
        <family val="1"/>
        <charset val="128"/>
      </rPr>
      <t>、</t>
    </r>
    <r>
      <rPr>
        <sz val="10"/>
        <color theme="1"/>
        <rFont val="Century"/>
        <family val="1"/>
      </rPr>
      <t>M</t>
    </r>
    <r>
      <rPr>
        <vertAlign val="subscript"/>
        <sz val="9"/>
        <color theme="1"/>
        <rFont val="Century"/>
        <family val="1"/>
      </rPr>
      <t>2</t>
    </r>
    <r>
      <rPr>
        <sz val="10"/>
        <color theme="1"/>
        <rFont val="ＭＳ 明朝"/>
        <family val="1"/>
        <charset val="128"/>
      </rPr>
      <t>級（</t>
    </r>
    <r>
      <rPr>
        <sz val="10"/>
        <color theme="1"/>
        <rFont val="Century"/>
        <family val="1"/>
      </rPr>
      <t>10 mg</t>
    </r>
    <r>
      <rPr>
        <sz val="10"/>
        <color theme="1"/>
        <rFont val="ＭＳ 明朝"/>
        <family val="1"/>
        <charset val="128"/>
      </rPr>
      <t>～</t>
    </r>
    <r>
      <rPr>
        <sz val="10"/>
        <color theme="1"/>
        <rFont val="Century"/>
        <family val="1"/>
      </rPr>
      <t>1 kg</t>
    </r>
    <r>
      <rPr>
        <sz val="10"/>
        <color theme="1"/>
        <rFont val="ＭＳ 明朝"/>
        <family val="1"/>
        <charset val="128"/>
      </rPr>
      <t>）</t>
    </r>
    <phoneticPr fontId="1"/>
  </si>
  <si>
    <r>
      <rPr>
        <sz val="10"/>
        <color theme="1"/>
        <rFont val="ＭＳ Ｐ明朝"/>
        <family val="1"/>
        <charset val="128"/>
      </rPr>
      <t>　</t>
    </r>
    <r>
      <rPr>
        <sz val="10"/>
        <color theme="1"/>
        <rFont val="Century"/>
        <family val="1"/>
      </rPr>
      <t>M</t>
    </r>
    <r>
      <rPr>
        <vertAlign val="subscript"/>
        <sz val="9"/>
        <color theme="1"/>
        <rFont val="Century"/>
        <family val="1"/>
      </rPr>
      <t>1</t>
    </r>
    <r>
      <rPr>
        <sz val="10"/>
        <color theme="1"/>
        <rFont val="ＭＳ 明朝"/>
        <family val="1"/>
        <charset val="128"/>
      </rPr>
      <t>、</t>
    </r>
    <r>
      <rPr>
        <sz val="10"/>
        <color theme="1"/>
        <rFont val="Century"/>
        <family val="1"/>
      </rPr>
      <t>M</t>
    </r>
    <r>
      <rPr>
        <vertAlign val="subscript"/>
        <sz val="9"/>
        <color theme="1"/>
        <rFont val="Century"/>
        <family val="1"/>
      </rPr>
      <t>2</t>
    </r>
    <r>
      <rPr>
        <sz val="10"/>
        <color theme="1"/>
        <rFont val="ＭＳ 明朝"/>
        <family val="1"/>
        <charset val="128"/>
      </rPr>
      <t>級（</t>
    </r>
    <r>
      <rPr>
        <sz val="10"/>
        <color theme="1"/>
        <rFont val="Century"/>
        <family val="1"/>
      </rPr>
      <t>2 kg</t>
    </r>
    <r>
      <rPr>
        <sz val="10"/>
        <color theme="1"/>
        <rFont val="ＭＳ 明朝"/>
        <family val="1"/>
        <charset val="128"/>
      </rPr>
      <t>～</t>
    </r>
    <r>
      <rPr>
        <sz val="10"/>
        <color theme="1"/>
        <rFont val="Century"/>
        <family val="1"/>
      </rPr>
      <t>20 kg</t>
    </r>
    <r>
      <rPr>
        <sz val="10"/>
        <color theme="1"/>
        <rFont val="ＭＳ 明朝"/>
        <family val="1"/>
        <charset val="128"/>
      </rPr>
      <t>）</t>
    </r>
    <phoneticPr fontId="1"/>
  </si>
  <si>
    <r>
      <rPr>
        <sz val="10"/>
        <color theme="1"/>
        <rFont val="ＭＳ Ｐ明朝"/>
        <family val="1"/>
        <charset val="128"/>
      </rPr>
      <t>　</t>
    </r>
    <r>
      <rPr>
        <sz val="10"/>
        <color theme="1"/>
        <rFont val="Century"/>
        <family val="1"/>
      </rPr>
      <t>M</t>
    </r>
    <r>
      <rPr>
        <vertAlign val="subscript"/>
        <sz val="9"/>
        <color theme="1"/>
        <rFont val="Century"/>
        <family val="1"/>
      </rPr>
      <t>1</t>
    </r>
    <r>
      <rPr>
        <sz val="10"/>
        <color theme="1"/>
        <rFont val="ＭＳ 明朝"/>
        <family val="1"/>
        <charset val="128"/>
      </rPr>
      <t>、</t>
    </r>
    <r>
      <rPr>
        <sz val="10"/>
        <color theme="1"/>
        <rFont val="Century"/>
        <family val="1"/>
      </rPr>
      <t>M</t>
    </r>
    <r>
      <rPr>
        <vertAlign val="subscript"/>
        <sz val="9"/>
        <color theme="1"/>
        <rFont val="Century"/>
        <family val="1"/>
      </rPr>
      <t>2</t>
    </r>
    <r>
      <rPr>
        <sz val="10"/>
        <color theme="1"/>
        <rFont val="ＭＳ 明朝"/>
        <family val="1"/>
        <charset val="128"/>
      </rPr>
      <t>級（</t>
    </r>
    <r>
      <rPr>
        <sz val="10"/>
        <color theme="1"/>
        <rFont val="Century"/>
        <family val="1"/>
      </rPr>
      <t>50 kg</t>
    </r>
    <r>
      <rPr>
        <sz val="10"/>
        <color theme="1"/>
        <rFont val="ＭＳ 明朝"/>
        <family val="1"/>
        <charset val="128"/>
      </rPr>
      <t>～</t>
    </r>
    <r>
      <rPr>
        <sz val="10"/>
        <color theme="1"/>
        <rFont val="Century"/>
        <family val="1"/>
      </rPr>
      <t>1000 kg</t>
    </r>
    <r>
      <rPr>
        <sz val="10"/>
        <color theme="1"/>
        <rFont val="ＭＳ 明朝"/>
        <family val="1"/>
        <charset val="128"/>
      </rPr>
      <t>）</t>
    </r>
    <phoneticPr fontId="1"/>
  </si>
  <si>
    <t>申請日より３０日間（土日祝を除く）とする。</t>
    <rPh sb="10" eb="12">
      <t>ドニチ</t>
    </rPh>
    <rPh sb="12" eb="13">
      <t>シュク</t>
    </rPh>
    <rPh sb="14" eb="15">
      <t>ノゾ</t>
    </rPh>
    <phoneticPr fontId="1"/>
  </si>
  <si>
    <t>　東京都行政手続条例第６条「行政手続等に係る標準処理期間に関する要綱第４条（別表１）」</t>
    <rPh sb="14" eb="16">
      <t>ギョウセイ</t>
    </rPh>
    <rPh sb="16" eb="18">
      <t>テツヅ</t>
    </rPh>
    <rPh sb="18" eb="19">
      <t>トウ</t>
    </rPh>
    <phoneticPr fontId="1"/>
  </si>
  <si>
    <t>ver.20260326</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</si>
</sst>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ge&quot;年&quot;m&quot;月&quot;d&quot;日&quot;;@"/>
    <numFmt numFmtId="177" formatCode="[DBNum3]General"/>
    <numFmt numFmtId="178" formatCode="0&quot;個&quot;"/>
    <numFmt numFmtId="179" formatCode="#,###&quot;円&quot;"/>
    <numFmt numFmtId="180" formatCode="0&quot;通&quot;"/>
    <numFmt numFmtId="181" formatCode="#,##0_ "/>
    <numFmt numFmtId="182" formatCode="#,##0_);[Red]\(#,##0\)"/>
    <numFmt numFmtId="183" formatCode="[$-411]ge\.m\.d;@"/>
    <numFmt numFmtId="184" formatCode="0_);[Red]\(0\)"/>
  </numFmts>
  <fonts count="52">
    <font>
      <sz val="11"/>
      <color theme="1"/>
      <name val="游ゴシック"/>
      <family val="2"/>
      <charset val="128"/>
      <scheme val="minor"/>
    </font>
    <font>
      <sz val="6"/>
      <name val="游ゴシック"/>
      <family val="2"/>
      <charset val="128"/>
      <scheme val="minor"/>
    </font>
    <font>
      <sz val="11"/>
      <color theme="1"/>
      <name val="ＭＳ 明朝"/>
      <family val="1"/>
      <charset val="128"/>
    </font>
    <font>
      <sz val="11"/>
      <color theme="1"/>
      <name val="游ゴシック"/>
      <family val="3"/>
      <charset val="128"/>
      <scheme val="minor"/>
    </font>
    <font>
      <sz val="12"/>
      <color theme="1"/>
      <name val="ＭＳ 明朝"/>
      <family val="1"/>
      <charset val="128"/>
    </font>
    <font>
      <sz val="10.5"/>
      <color theme="1"/>
      <name val="ＭＳ 明朝"/>
      <family val="1"/>
      <charset val="128"/>
    </font>
    <font>
      <sz val="9"/>
      <color theme="1"/>
      <name val="ＭＳ 明朝"/>
      <family val="1"/>
      <charset val="128"/>
    </font>
    <font>
      <sz val="8"/>
      <color theme="1"/>
      <name val="HGPｺﾞｼｯｸM"/>
      <family val="3"/>
      <charset val="128"/>
    </font>
    <font>
      <sz val="9"/>
      <color theme="1"/>
      <name val="HGPｺﾞｼｯｸM"/>
      <family val="3"/>
      <charset val="128"/>
    </font>
    <font>
      <b/>
      <sz val="11"/>
      <color theme="1"/>
      <name val="游ゴシック"/>
      <family val="3"/>
      <charset val="128"/>
      <scheme val="minor"/>
    </font>
    <font>
      <sz val="11"/>
      <color theme="0"/>
      <name val="游ゴシック"/>
      <family val="2"/>
      <charset val="128"/>
      <scheme val="minor"/>
    </font>
    <font>
      <sz val="11"/>
      <color theme="1"/>
      <name val="游ゴシック"/>
      <family val="2"/>
      <charset val="128"/>
      <scheme val="minor"/>
    </font>
    <font>
      <sz val="9"/>
      <color theme="1"/>
      <name val="ＭＳ ゴシック"/>
      <family val="3"/>
      <charset val="128"/>
    </font>
    <font>
      <sz val="10"/>
      <color theme="1"/>
      <name val="ＭＳ 明朝"/>
      <family val="1"/>
      <charset val="128"/>
    </font>
    <font>
      <sz val="10"/>
      <color theme="1"/>
      <name val="ＭＳ Ｐ明朝"/>
      <family val="1"/>
      <charset val="128"/>
    </font>
    <font>
      <sz val="10"/>
      <color theme="1"/>
      <name val="ＭＳ ゴシック"/>
      <family val="3"/>
      <charset val="128"/>
    </font>
    <font>
      <sz val="14"/>
      <color theme="1"/>
      <name val="メイリオ"/>
      <family val="3"/>
      <charset val="128"/>
    </font>
    <font>
      <sz val="9"/>
      <color theme="1"/>
      <name val="メイリオ"/>
      <family val="3"/>
      <charset val="128"/>
    </font>
    <font>
      <sz val="10"/>
      <color theme="1"/>
      <name val="メイリオ"/>
      <family val="3"/>
      <charset val="128"/>
    </font>
    <font>
      <sz val="5"/>
      <color theme="1"/>
      <name val="Century"/>
      <family val="1"/>
    </font>
    <font>
      <sz val="8"/>
      <color theme="1"/>
      <name val="メイリオ"/>
      <family val="3"/>
      <charset val="128"/>
    </font>
    <font>
      <sz val="7"/>
      <color theme="1"/>
      <name val="メイリオ"/>
      <family val="3"/>
      <charset val="128"/>
    </font>
    <font>
      <sz val="8"/>
      <color theme="1"/>
      <name val="Century"/>
      <family val="1"/>
    </font>
    <font>
      <sz val="5"/>
      <color theme="1"/>
      <name val="メイリオ"/>
      <family val="3"/>
      <charset val="128"/>
    </font>
    <font>
      <sz val="6"/>
      <color theme="1"/>
      <name val="メイリオ"/>
      <family val="3"/>
      <charset val="128"/>
    </font>
    <font>
      <sz val="10.5"/>
      <color theme="1"/>
      <name val="Century"/>
      <family val="1"/>
    </font>
    <font>
      <sz val="11"/>
      <color theme="1"/>
      <name val="メイリオ"/>
      <family val="3"/>
      <charset val="128"/>
    </font>
    <font>
      <sz val="12"/>
      <color rgb="FFC0C0C0"/>
      <name val="メイリオ"/>
      <family val="3"/>
      <charset val="128"/>
    </font>
    <font>
      <sz val="10"/>
      <color theme="1"/>
      <name val="ＭＳ Ｐゴシック"/>
      <family val="3"/>
      <charset val="128"/>
    </font>
    <font>
      <sz val="12"/>
      <color theme="1"/>
      <name val="メイリオ"/>
      <family val="3"/>
      <charset val="128"/>
    </font>
    <font>
      <sz val="11"/>
      <color theme="1"/>
      <name val="ＭＳ Ｐゴシック"/>
      <family val="3"/>
      <charset val="128"/>
    </font>
    <font>
      <sz val="10"/>
      <color theme="1"/>
      <name val="Century"/>
      <family val="1"/>
    </font>
    <font>
      <sz val="15"/>
      <color theme="1"/>
      <name val="ＭＳ ゴシック"/>
      <family val="3"/>
      <charset val="128"/>
    </font>
    <font>
      <sz val="10.5"/>
      <color theme="1"/>
      <name val="Times New Roman"/>
      <family val="1"/>
    </font>
    <font>
      <sz val="10"/>
      <color theme="1"/>
      <name val="Times New Roman"/>
      <family val="1"/>
    </font>
    <font>
      <sz val="10.5"/>
      <color rgb="FF000000"/>
      <name val="ＭＳ 明朝"/>
      <family val="1"/>
      <charset val="128"/>
    </font>
    <font>
      <sz val="10.5"/>
      <color rgb="FF000000"/>
      <name val="Times New Roman"/>
      <family val="1"/>
    </font>
    <font>
      <vertAlign val="subscript"/>
      <sz val="10.5"/>
      <color rgb="FF000000"/>
      <name val="Times New Roman"/>
      <family val="1"/>
    </font>
    <font>
      <sz val="10"/>
      <color rgb="FF000000"/>
      <name val="ＭＳ 明朝"/>
      <family val="1"/>
      <charset val="128"/>
    </font>
    <font>
      <sz val="5"/>
      <color rgb="FF000000"/>
      <name val="Times New Roman"/>
      <family val="1"/>
    </font>
    <font>
      <sz val="10.5"/>
      <color rgb="FF000000"/>
      <name val="ＭＳ Ｐ明朝"/>
      <family val="1"/>
      <charset val="128"/>
    </font>
    <font>
      <sz val="11"/>
      <name val="ＭＳ Ｐゴシック"/>
      <family val="3"/>
      <charset val="128"/>
    </font>
    <font>
      <sz val="6"/>
      <name val="游ゴシック"/>
      <family val="3"/>
      <charset val="128"/>
      <scheme val="minor"/>
    </font>
    <font>
      <sz val="11"/>
      <name val="ＭＳ Ｐ明朝"/>
      <family val="1"/>
      <charset val="128"/>
    </font>
    <font>
      <sz val="1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11"/>
      <color rgb="FFFF0000"/>
      <name val="游ゴシック"/>
      <family val="3"/>
      <charset val="128"/>
      <scheme val="minor"/>
    </font>
    <font>
      <sz val="10"/>
      <color rgb="FF000000"/>
      <name val="Century"/>
      <family val="1"/>
    </font>
    <font>
      <vertAlign val="subscript"/>
      <sz val="10"/>
      <color rgb="FF000000"/>
      <name val="Century"/>
      <family val="1"/>
    </font>
    <font>
      <sz val="10.5"/>
      <color rgb="FF000000"/>
      <name val="Century"/>
      <family val="1"/>
    </font>
    <font>
      <vertAlign val="subscript"/>
      <sz val="9"/>
      <color theme="1"/>
      <name val="Century"/>
      <family val="1"/>
    </font>
  </fonts>
  <fills count="16">
    <fill>
      <patternFill patternType="none"/>
    </fill>
    <fill>
      <patternFill patternType="gray125"/>
    </fill>
    <fill>
      <patternFill patternType="solid">
        <fgColor rgb="FFFFFF99"/>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59996337778862885"/>
        <bgColor indexed="64"/>
      </patternFill>
    </fill>
    <fill>
      <patternFill patternType="solid">
        <fgColor rgb="FFFFFFCC"/>
        <bgColor indexed="64"/>
      </patternFill>
    </fill>
    <fill>
      <patternFill patternType="solid">
        <fgColor rgb="FFBFBFBF"/>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4"/>
        <bgColor indexed="64"/>
      </patternFill>
    </fill>
    <fill>
      <patternFill patternType="solid">
        <fgColor theme="7"/>
        <bgColor indexed="64"/>
      </patternFill>
    </fill>
    <fill>
      <patternFill patternType="solid">
        <fgColor theme="0" tint="-0.1499984740745262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right style="thick">
        <color indexed="64"/>
      </right>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top/>
      <bottom style="thick">
        <color indexed="64"/>
      </bottom>
      <diagonal/>
    </border>
    <border>
      <left/>
      <right style="thick">
        <color indexed="64"/>
      </right>
      <top/>
      <bottom style="thick">
        <color indexed="64"/>
      </bottom>
      <diagonal/>
    </border>
    <border>
      <left style="thin">
        <color indexed="64"/>
      </left>
      <right style="thick">
        <color indexed="64"/>
      </right>
      <top/>
      <bottom/>
      <diagonal/>
    </border>
    <border>
      <left style="thick">
        <color indexed="64"/>
      </left>
      <right/>
      <top/>
      <bottom style="medium">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diagonalUp="1">
      <left style="thin">
        <color indexed="64"/>
      </left>
      <right style="thin">
        <color indexed="64"/>
      </right>
      <top style="thin">
        <color indexed="64"/>
      </top>
      <bottom style="thick">
        <color indexed="64"/>
      </bottom>
      <diagonal style="thin">
        <color indexed="64"/>
      </diagonal>
    </border>
    <border>
      <left style="thin">
        <color indexed="64"/>
      </left>
      <right style="thick">
        <color indexed="64"/>
      </right>
      <top style="thin">
        <color indexed="64"/>
      </top>
      <bottom style="thick">
        <color indexed="64"/>
      </bottom>
      <diagonal/>
    </border>
    <border>
      <left style="thick">
        <color indexed="64"/>
      </left>
      <right/>
      <top style="thick">
        <color indexed="64"/>
      </top>
      <bottom/>
      <diagonal/>
    </border>
    <border>
      <left/>
      <right style="thin">
        <color indexed="64"/>
      </right>
      <top style="thick">
        <color indexed="64"/>
      </top>
      <bottom style="thin">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thin">
        <color auto="1"/>
      </bottom>
      <diagonal/>
    </border>
    <border>
      <left style="medium">
        <color auto="1"/>
      </left>
      <right style="hair">
        <color auto="1"/>
      </right>
      <top style="medium">
        <color auto="1"/>
      </top>
      <bottom style="thin">
        <color auto="1"/>
      </bottom>
      <diagonal/>
    </border>
    <border>
      <left style="hair">
        <color auto="1"/>
      </left>
      <right style="hair">
        <color auto="1"/>
      </right>
      <top style="medium">
        <color auto="1"/>
      </top>
      <bottom style="thin">
        <color auto="1"/>
      </bottom>
      <diagonal/>
    </border>
    <border>
      <left style="hair">
        <color auto="1"/>
      </left>
      <right style="medium">
        <color auto="1"/>
      </right>
      <top style="medium">
        <color auto="1"/>
      </top>
      <bottom style="thin">
        <color auto="1"/>
      </bottom>
      <diagonal/>
    </border>
    <border>
      <left style="medium">
        <color auto="1"/>
      </left>
      <right style="hair">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hair">
        <color auto="1"/>
      </left>
      <right style="medium">
        <color auto="1"/>
      </right>
      <top style="thin">
        <color auto="1"/>
      </top>
      <bottom style="medium">
        <color auto="1"/>
      </bottom>
      <diagonal/>
    </border>
    <border>
      <left style="hair">
        <color auto="1"/>
      </left>
      <right/>
      <top style="medium">
        <color auto="1"/>
      </top>
      <bottom style="thin">
        <color auto="1"/>
      </bottom>
      <diagonal/>
    </border>
    <border>
      <left/>
      <right style="hair">
        <color auto="1"/>
      </right>
      <top style="medium">
        <color auto="1"/>
      </top>
      <bottom style="thin">
        <color auto="1"/>
      </bottom>
      <diagonal/>
    </border>
    <border>
      <left/>
      <right style="hair">
        <color auto="1"/>
      </right>
      <top style="thin">
        <color auto="1"/>
      </top>
      <bottom style="thin">
        <color auto="1"/>
      </bottom>
      <diagonal/>
    </border>
    <border>
      <left/>
      <right style="hair">
        <color auto="1"/>
      </right>
      <top style="thin">
        <color auto="1"/>
      </top>
      <bottom style="medium">
        <color auto="1"/>
      </bottom>
      <diagonal/>
    </border>
    <border>
      <left/>
      <right style="medium">
        <color auto="1"/>
      </right>
      <top style="medium">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rgb="FF999999"/>
      </left>
      <right/>
      <top style="medium">
        <color rgb="FF999999"/>
      </top>
      <bottom/>
      <diagonal/>
    </border>
    <border>
      <left/>
      <right/>
      <top style="medium">
        <color rgb="FF999999"/>
      </top>
      <bottom/>
      <diagonal/>
    </border>
    <border>
      <left/>
      <right style="medium">
        <color rgb="FF999999"/>
      </right>
      <top style="medium">
        <color rgb="FF999999"/>
      </top>
      <bottom/>
      <diagonal/>
    </border>
    <border>
      <left style="medium">
        <color rgb="FF999999"/>
      </left>
      <right/>
      <top/>
      <bottom/>
      <diagonal/>
    </border>
    <border>
      <left/>
      <right style="medium">
        <color rgb="FF999999"/>
      </right>
      <top/>
      <bottom/>
      <diagonal/>
    </border>
    <border>
      <left style="medium">
        <color rgb="FF999999"/>
      </left>
      <right/>
      <top/>
      <bottom style="medium">
        <color rgb="FF999999"/>
      </bottom>
      <diagonal/>
    </border>
    <border>
      <left/>
      <right/>
      <top/>
      <bottom style="medium">
        <color rgb="FF999999"/>
      </bottom>
      <diagonal/>
    </border>
    <border>
      <left/>
      <right style="medium">
        <color rgb="FF999999"/>
      </right>
      <top/>
      <bottom style="medium">
        <color rgb="FF99999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style="medium">
        <color rgb="FF808080"/>
      </top>
      <bottom/>
      <diagonal/>
    </border>
    <border>
      <left style="medium">
        <color rgb="FF808080"/>
      </left>
      <right style="medium">
        <color rgb="FF808080"/>
      </right>
      <top/>
      <bottom style="medium">
        <color rgb="FF808080"/>
      </bottom>
      <diagonal/>
    </border>
    <border>
      <left style="thin">
        <color rgb="FFA6A6A6"/>
      </left>
      <right/>
      <top style="thin">
        <color rgb="FFA6A6A6"/>
      </top>
      <bottom style="thin">
        <color rgb="FFA6A6A6"/>
      </bottom>
      <diagonal/>
    </border>
    <border>
      <left/>
      <right style="thin">
        <color rgb="FFA6A6A6"/>
      </right>
      <top style="thin">
        <color rgb="FFA6A6A6"/>
      </top>
      <bottom style="thin">
        <color rgb="FFA6A6A6"/>
      </bottom>
      <diagonal/>
    </border>
    <border>
      <left/>
      <right style="thin">
        <color rgb="FFA6A6A6"/>
      </right>
      <top/>
      <bottom/>
      <diagonal/>
    </border>
    <border>
      <left/>
      <right style="medium">
        <color indexed="64"/>
      </right>
      <top style="thin">
        <color indexed="64"/>
      </top>
      <bottom/>
      <diagonal/>
    </border>
    <border>
      <left style="thin">
        <color indexed="64"/>
      </left>
      <right/>
      <top/>
      <bottom style="medium">
        <color indexed="64"/>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hair">
        <color indexed="64"/>
      </top>
      <bottom/>
      <diagonal/>
    </border>
    <border>
      <left style="thin">
        <color indexed="64"/>
      </left>
      <right/>
      <top/>
      <bottom style="hair">
        <color indexed="64"/>
      </bottom>
      <diagonal/>
    </border>
    <border>
      <left style="double">
        <color indexed="64"/>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s>
  <cellStyleXfs count="2">
    <xf numFmtId="0" fontId="0" fillId="0" borderId="0">
      <alignment vertical="center"/>
    </xf>
    <xf numFmtId="38" fontId="11" fillId="0" borderId="0" applyFont="0" applyFill="0" applyBorder="0" applyAlignment="0" applyProtection="0">
      <alignment vertical="center"/>
    </xf>
  </cellStyleXfs>
  <cellXfs count="525">
    <xf numFmtId="0" fontId="0" fillId="0" borderId="0" xfId="0">
      <alignment vertical="center"/>
    </xf>
    <xf numFmtId="0" fontId="0" fillId="0" borderId="10" xfId="0" applyBorder="1">
      <alignment vertical="center"/>
    </xf>
    <xf numFmtId="0" fontId="3" fillId="0" borderId="0" xfId="0" applyFont="1">
      <alignment vertical="center"/>
    </xf>
    <xf numFmtId="0" fontId="9" fillId="2" borderId="0" xfId="0" applyFont="1" applyFill="1">
      <alignment vertical="center"/>
    </xf>
    <xf numFmtId="31" fontId="0" fillId="0" borderId="0" xfId="0" applyNumberFormat="1" applyAlignment="1">
      <alignment horizontal="left" vertical="center"/>
    </xf>
    <xf numFmtId="0" fontId="0" fillId="0" borderId="0" xfId="0" applyAlignment="1">
      <alignment horizontal="left" vertical="center"/>
    </xf>
    <xf numFmtId="0" fontId="12" fillId="0" borderId="0" xfId="0" applyFont="1">
      <alignment vertical="center"/>
    </xf>
    <xf numFmtId="0" fontId="0" fillId="0" borderId="11" xfId="0" applyBorder="1">
      <alignment vertical="center"/>
    </xf>
    <xf numFmtId="0" fontId="5" fillId="0" borderId="9" xfId="0" applyFont="1" applyBorder="1" applyAlignment="1">
      <alignment vertical="top" wrapText="1"/>
    </xf>
    <xf numFmtId="176" fontId="4" fillId="0" borderId="9" xfId="0" applyNumberFormat="1" applyFont="1" applyBorder="1" applyAlignment="1">
      <alignment horizontal="right" vertical="center" wrapText="1"/>
    </xf>
    <xf numFmtId="0" fontId="5" fillId="0" borderId="19" xfId="0" applyFont="1" applyBorder="1" applyAlignment="1">
      <alignment horizontal="justify" vertical="top" wrapText="1"/>
    </xf>
    <xf numFmtId="0" fontId="0" fillId="0" borderId="20" xfId="0" applyBorder="1">
      <alignment vertical="center"/>
    </xf>
    <xf numFmtId="0" fontId="5" fillId="0" borderId="10" xfId="0" applyFont="1" applyBorder="1" applyAlignment="1">
      <alignment horizontal="center" vertical="top" wrapText="1"/>
    </xf>
    <xf numFmtId="0" fontId="5" fillId="0" borderId="10" xfId="0" applyFont="1" applyBorder="1" applyAlignment="1">
      <alignment horizontal="justify" vertical="top" wrapText="1"/>
    </xf>
    <xf numFmtId="0" fontId="5" fillId="0" borderId="22" xfId="0" applyFont="1" applyBorder="1" applyAlignment="1">
      <alignment vertical="top" wrapText="1"/>
    </xf>
    <xf numFmtId="0" fontId="5" fillId="0" borderId="10" xfId="0" applyFont="1" applyBorder="1" applyAlignment="1">
      <alignment horizontal="right" vertical="top" wrapText="1"/>
    </xf>
    <xf numFmtId="0" fontId="5" fillId="0" borderId="0" xfId="0" applyFont="1" applyAlignment="1">
      <alignment vertical="top" wrapText="1"/>
    </xf>
    <xf numFmtId="0" fontId="5" fillId="0" borderId="21" xfId="0" applyFont="1" applyBorder="1" applyAlignment="1">
      <alignment vertical="top" wrapText="1"/>
    </xf>
    <xf numFmtId="0" fontId="0" fillId="0" borderId="20" xfId="0" applyBorder="1" applyAlignment="1">
      <alignment horizontal="left" vertical="center"/>
    </xf>
    <xf numFmtId="0" fontId="5" fillId="0" borderId="10" xfId="0" applyFont="1" applyBorder="1" applyAlignment="1">
      <alignment horizontal="left" vertical="center" wrapText="1"/>
    </xf>
    <xf numFmtId="0" fontId="0" fillId="0" borderId="27" xfId="0" applyBorder="1">
      <alignment vertical="center"/>
    </xf>
    <xf numFmtId="0" fontId="4" fillId="0" borderId="28" xfId="0" applyFont="1" applyBorder="1" applyAlignment="1">
      <alignment vertical="top" wrapText="1"/>
    </xf>
    <xf numFmtId="0" fontId="4" fillId="0" borderId="17" xfId="0" applyFont="1" applyBorder="1" applyAlignment="1">
      <alignment vertical="top" wrapText="1"/>
    </xf>
    <xf numFmtId="0" fontId="4" fillId="0" borderId="26" xfId="0" applyFont="1" applyBorder="1" applyAlignment="1">
      <alignment vertical="top" wrapText="1"/>
    </xf>
    <xf numFmtId="0" fontId="4" fillId="0" borderId="10" xfId="0" applyFont="1" applyBorder="1" applyAlignment="1">
      <alignment horizontal="justify" vertical="top" wrapText="1"/>
    </xf>
    <xf numFmtId="0" fontId="5" fillId="0" borderId="29"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justify" vertical="top" wrapText="1"/>
    </xf>
    <xf numFmtId="0" fontId="5" fillId="0" borderId="31" xfId="0" applyFont="1" applyBorder="1" applyAlignment="1">
      <alignment horizontal="center" vertical="center" wrapText="1"/>
    </xf>
    <xf numFmtId="0" fontId="5" fillId="0" borderId="1" xfId="0" applyFont="1" applyBorder="1" applyAlignment="1">
      <alignment horizontal="justify" vertical="top" wrapText="1"/>
    </xf>
    <xf numFmtId="0" fontId="5" fillId="0" borderId="31" xfId="0" applyFont="1" applyBorder="1" applyAlignment="1">
      <alignment horizontal="justify" vertical="top" wrapText="1"/>
    </xf>
    <xf numFmtId="178" fontId="5" fillId="0" borderId="33" xfId="0" applyNumberFormat="1" applyFont="1" applyBorder="1" applyAlignment="1">
      <alignment horizontal="right" vertical="center" wrapText="1"/>
    </xf>
    <xf numFmtId="0" fontId="5" fillId="0" borderId="34" xfId="0" applyFont="1" applyBorder="1" applyAlignment="1">
      <alignment horizontal="center" vertical="center" wrapText="1"/>
    </xf>
    <xf numFmtId="0" fontId="5" fillId="0" borderId="4" xfId="0" applyFont="1" applyBorder="1" applyAlignment="1">
      <alignment horizontal="left" vertical="center" wrapText="1"/>
    </xf>
    <xf numFmtId="0" fontId="13" fillId="0" borderId="10" xfId="0" applyFont="1" applyBorder="1" applyAlignment="1">
      <alignment horizontal="justify" vertical="top" wrapText="1"/>
    </xf>
    <xf numFmtId="0" fontId="0" fillId="0" borderId="7" xfId="0" applyBorder="1">
      <alignment vertical="center"/>
    </xf>
    <xf numFmtId="0" fontId="13" fillId="0" borderId="8" xfId="0" applyFont="1" applyBorder="1" applyAlignment="1">
      <alignment horizontal="justify" vertical="top" wrapText="1"/>
    </xf>
    <xf numFmtId="0" fontId="0" fillId="0" borderId="19" xfId="0" applyBorder="1">
      <alignment vertical="center"/>
    </xf>
    <xf numFmtId="0" fontId="5" fillId="0" borderId="36" xfId="0" applyFont="1" applyBorder="1" applyAlignment="1">
      <alignment vertical="center" wrapText="1"/>
    </xf>
    <xf numFmtId="0" fontId="5" fillId="0" borderId="22" xfId="0" applyFont="1" applyBorder="1" applyAlignment="1">
      <alignment vertical="center" wrapText="1"/>
    </xf>
    <xf numFmtId="0" fontId="5" fillId="0" borderId="37" xfId="0" applyFont="1" applyBorder="1" applyAlignment="1">
      <alignment horizontal="center" vertical="center" wrapText="1"/>
    </xf>
    <xf numFmtId="0" fontId="5" fillId="0" borderId="1" xfId="0" applyFont="1" applyBorder="1" applyAlignment="1">
      <alignment vertical="center" wrapText="1"/>
    </xf>
    <xf numFmtId="179" fontId="5" fillId="0" borderId="1" xfId="0" applyNumberFormat="1" applyFont="1" applyBorder="1" applyAlignment="1">
      <alignment vertical="center" wrapText="1"/>
    </xf>
    <xf numFmtId="176" fontId="5" fillId="0" borderId="31" xfId="0" applyNumberFormat="1" applyFont="1" applyBorder="1" applyAlignment="1">
      <alignment vertical="center" wrapText="1"/>
    </xf>
    <xf numFmtId="180" fontId="5" fillId="0" borderId="33" xfId="0" applyNumberFormat="1" applyFont="1" applyBorder="1" applyAlignment="1">
      <alignment vertical="center" wrapText="1"/>
    </xf>
    <xf numFmtId="0" fontId="5" fillId="0" borderId="35" xfId="0" applyFont="1" applyBorder="1" applyAlignment="1">
      <alignment horizontal="right" vertical="center" wrapText="1"/>
    </xf>
    <xf numFmtId="0" fontId="5" fillId="0" borderId="4" xfId="0" applyFont="1" applyBorder="1" applyAlignment="1">
      <alignment horizontal="justify" vertical="center" wrapText="1"/>
    </xf>
    <xf numFmtId="0" fontId="0" fillId="0" borderId="8" xfId="0" applyBorder="1">
      <alignment vertical="center"/>
    </xf>
    <xf numFmtId="181" fontId="0" fillId="0" borderId="0" xfId="0" applyNumberFormat="1">
      <alignment vertical="center"/>
    </xf>
    <xf numFmtId="181" fontId="0" fillId="0" borderId="1" xfId="0" applyNumberFormat="1" applyBorder="1">
      <alignment vertical="center"/>
    </xf>
    <xf numFmtId="181" fontId="0" fillId="0" borderId="1" xfId="0" applyNumberFormat="1" applyBorder="1" applyAlignment="1">
      <alignment horizontal="center" vertical="center"/>
    </xf>
    <xf numFmtId="181" fontId="0" fillId="0" borderId="0" xfId="0" applyNumberFormat="1" applyAlignment="1">
      <alignment horizontal="center" vertical="center"/>
    </xf>
    <xf numFmtId="181" fontId="0" fillId="3" borderId="1" xfId="0" applyNumberFormat="1" applyFill="1" applyBorder="1">
      <alignment vertical="center"/>
    </xf>
    <xf numFmtId="181" fontId="0" fillId="4" borderId="1" xfId="0" applyNumberFormat="1" applyFill="1" applyBorder="1">
      <alignment vertical="center"/>
    </xf>
    <xf numFmtId="181" fontId="0" fillId="5" borderId="1" xfId="0" applyNumberFormat="1" applyFill="1" applyBorder="1">
      <alignment vertical="center"/>
    </xf>
    <xf numFmtId="181" fontId="0" fillId="6" borderId="1" xfId="0" applyNumberFormat="1" applyFill="1" applyBorder="1">
      <alignment vertical="center"/>
    </xf>
    <xf numFmtId="181" fontId="0" fillId="7" borderId="1" xfId="0" applyNumberFormat="1" applyFill="1" applyBorder="1">
      <alignment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0" fillId="2" borderId="39" xfId="0" applyFill="1" applyBorder="1" applyProtection="1">
      <alignment vertical="center"/>
      <protection locked="0"/>
    </xf>
    <xf numFmtId="0" fontId="0" fillId="2" borderId="48" xfId="0" applyFill="1" applyBorder="1" applyProtection="1">
      <alignment vertical="center"/>
      <protection locked="0"/>
    </xf>
    <xf numFmtId="0" fontId="5" fillId="0" borderId="0" xfId="0" applyFont="1" applyAlignment="1">
      <alignment horizontal="right" vertical="center" wrapText="1"/>
    </xf>
    <xf numFmtId="182" fontId="0" fillId="0" borderId="0" xfId="0" applyNumberFormat="1">
      <alignment vertical="center"/>
    </xf>
    <xf numFmtId="182" fontId="0" fillId="0" borderId="42" xfId="0" applyNumberFormat="1" applyBorder="1" applyAlignment="1">
      <alignment horizontal="center" vertical="center"/>
    </xf>
    <xf numFmtId="182" fontId="0" fillId="0" borderId="43" xfId="0" applyNumberFormat="1" applyBorder="1" applyAlignment="1">
      <alignment horizontal="center" vertical="center"/>
    </xf>
    <xf numFmtId="182" fontId="0" fillId="0" borderId="45" xfId="0" applyNumberFormat="1" applyBorder="1" applyAlignment="1">
      <alignment horizontal="center" vertical="center"/>
    </xf>
    <xf numFmtId="182" fontId="0" fillId="2" borderId="39" xfId="0" applyNumberFormat="1" applyFill="1" applyBorder="1">
      <alignment vertical="center"/>
    </xf>
    <xf numFmtId="182" fontId="0" fillId="0" borderId="38" xfId="0" applyNumberFormat="1" applyBorder="1">
      <alignment vertical="center"/>
    </xf>
    <xf numFmtId="182" fontId="0" fillId="0" borderId="40" xfId="0" applyNumberFormat="1" applyBorder="1">
      <alignment vertical="center"/>
    </xf>
    <xf numFmtId="182" fontId="0" fillId="0" borderId="2" xfId="0" applyNumberFormat="1" applyBorder="1">
      <alignment vertical="center"/>
    </xf>
    <xf numFmtId="182" fontId="0" fillId="0" borderId="4" xfId="0" applyNumberFormat="1" applyBorder="1">
      <alignment vertical="center"/>
    </xf>
    <xf numFmtId="182" fontId="0" fillId="0" borderId="47" xfId="0" applyNumberFormat="1" applyBorder="1" applyAlignment="1">
      <alignment horizontal="center" vertical="center"/>
    </xf>
    <xf numFmtId="182" fontId="5" fillId="0" borderId="1" xfId="1" applyNumberFormat="1" applyFont="1" applyBorder="1" applyAlignment="1">
      <alignment vertical="center" wrapText="1"/>
    </xf>
    <xf numFmtId="182" fontId="5" fillId="0" borderId="31" xfId="1" applyNumberFormat="1" applyFont="1" applyBorder="1" applyAlignment="1">
      <alignment vertical="center" wrapText="1"/>
    </xf>
    <xf numFmtId="182" fontId="5" fillId="0" borderId="1" xfId="0" applyNumberFormat="1" applyFont="1" applyBorder="1" applyAlignment="1">
      <alignment vertical="top" wrapText="1"/>
    </xf>
    <xf numFmtId="182" fontId="5" fillId="0" borderId="31" xfId="0" applyNumberFormat="1" applyFont="1" applyBorder="1" applyAlignment="1">
      <alignment vertical="top" wrapText="1"/>
    </xf>
    <xf numFmtId="0" fontId="0" fillId="0" borderId="38" xfId="0" applyBorder="1">
      <alignment vertical="center"/>
    </xf>
    <xf numFmtId="0" fontId="0" fillId="0" borderId="40" xfId="0" applyBorder="1">
      <alignment vertical="center"/>
    </xf>
    <xf numFmtId="0" fontId="0" fillId="0" borderId="2" xfId="0" applyBorder="1">
      <alignment vertical="center"/>
    </xf>
    <xf numFmtId="0" fontId="0" fillId="0" borderId="4" xfId="0" applyBorder="1">
      <alignment vertical="center"/>
    </xf>
    <xf numFmtId="182" fontId="0" fillId="0" borderId="0" xfId="0" applyNumberFormat="1" applyAlignment="1">
      <alignment horizontal="center" vertical="center"/>
    </xf>
    <xf numFmtId="0" fontId="5" fillId="0" borderId="4" xfId="0" applyFont="1" applyBorder="1" applyAlignment="1">
      <alignment vertical="center" shrinkToFit="1"/>
    </xf>
    <xf numFmtId="0" fontId="5" fillId="0" borderId="4" xfId="0" applyFont="1" applyBorder="1" applyAlignment="1">
      <alignment horizontal="justify" vertical="top" shrinkToFit="1"/>
    </xf>
    <xf numFmtId="182" fontId="0" fillId="0" borderId="1" xfId="0" applyNumberFormat="1" applyBorder="1">
      <alignment vertical="center"/>
    </xf>
    <xf numFmtId="182" fontId="0" fillId="0" borderId="1" xfId="0" applyNumberFormat="1" applyBorder="1" applyAlignment="1">
      <alignment horizontal="center" vertical="center"/>
    </xf>
    <xf numFmtId="182" fontId="0" fillId="0" borderId="9" xfId="0" applyNumberFormat="1" applyBorder="1">
      <alignment vertical="center"/>
    </xf>
    <xf numFmtId="0" fontId="5" fillId="0" borderId="0" xfId="0" applyFont="1" applyAlignment="1">
      <alignment horizontal="center" vertical="top" wrapText="1"/>
    </xf>
    <xf numFmtId="179" fontId="5" fillId="0" borderId="33" xfId="0" applyNumberFormat="1" applyFont="1" applyBorder="1" applyAlignment="1">
      <alignment vertical="center" wrapText="1"/>
    </xf>
    <xf numFmtId="179" fontId="5" fillId="0" borderId="35" xfId="0" applyNumberFormat="1" applyFont="1" applyBorder="1" applyAlignment="1">
      <alignment vertical="center" wrapText="1"/>
    </xf>
    <xf numFmtId="0" fontId="0" fillId="0" borderId="55" xfId="0" applyBorder="1" applyAlignment="1">
      <alignment horizontal="center" vertical="center"/>
    </xf>
    <xf numFmtId="182" fontId="0" fillId="0" borderId="51" xfId="0" applyNumberFormat="1" applyBorder="1" applyAlignment="1">
      <alignment horizontal="center" vertical="center"/>
    </xf>
    <xf numFmtId="182" fontId="0" fillId="2" borderId="41" xfId="0" applyNumberFormat="1" applyFill="1" applyBorder="1">
      <alignment vertical="center"/>
    </xf>
    <xf numFmtId="0" fontId="0" fillId="0" borderId="44" xfId="0" applyBorder="1" applyAlignment="1">
      <alignment horizontal="center" vertical="center" shrinkToFit="1"/>
    </xf>
    <xf numFmtId="182" fontId="0" fillId="2" borderId="46" xfId="0" applyNumberFormat="1" applyFill="1" applyBorder="1" applyAlignment="1">
      <alignment vertical="center" shrinkToFit="1"/>
    </xf>
    <xf numFmtId="182" fontId="0" fillId="0" borderId="0" xfId="0" applyNumberFormat="1" applyAlignment="1">
      <alignment vertical="center" shrinkToFit="1"/>
    </xf>
    <xf numFmtId="0" fontId="0" fillId="2" borderId="41" xfId="0" applyFill="1" applyBorder="1" applyProtection="1">
      <alignment vertical="center"/>
      <protection locked="0"/>
    </xf>
    <xf numFmtId="0" fontId="0" fillId="2" borderId="3" xfId="0" applyFill="1" applyBorder="1" applyProtection="1">
      <alignment vertical="center"/>
      <protection locked="0"/>
    </xf>
    <xf numFmtId="0" fontId="0" fillId="2" borderId="46" xfId="0" applyFill="1" applyBorder="1" applyAlignment="1" applyProtection="1">
      <alignment vertical="center" shrinkToFit="1"/>
      <protection locked="0"/>
    </xf>
    <xf numFmtId="0" fontId="0" fillId="2" borderId="49" xfId="0" applyFill="1" applyBorder="1" applyProtection="1">
      <alignment vertical="center"/>
      <protection locked="0"/>
    </xf>
    <xf numFmtId="0" fontId="0" fillId="2" borderId="50" xfId="0" applyFill="1" applyBorder="1" applyAlignment="1" applyProtection="1">
      <alignment vertical="center" shrinkToFit="1"/>
      <protection locked="0"/>
    </xf>
    <xf numFmtId="182" fontId="0" fillId="0" borderId="1" xfId="0" applyNumberFormat="1" applyBorder="1" applyAlignment="1">
      <alignment vertical="center" shrinkToFit="1"/>
    </xf>
    <xf numFmtId="0" fontId="5" fillId="0" borderId="26" xfId="0" applyFont="1" applyBorder="1" applyAlignment="1">
      <alignment horizontal="center" vertical="top" wrapText="1"/>
    </xf>
    <xf numFmtId="0" fontId="5" fillId="0" borderId="4" xfId="0" applyFont="1" applyBorder="1" applyAlignment="1">
      <alignment vertical="top"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24" xfId="0" applyFont="1" applyBorder="1" applyAlignment="1">
      <alignment horizontal="right" vertical="center" wrapText="1"/>
    </xf>
    <xf numFmtId="0" fontId="13" fillId="0" borderId="0" xfId="0" applyFont="1" applyAlignment="1">
      <alignment horizontal="justify" vertical="top" wrapText="1"/>
    </xf>
    <xf numFmtId="0" fontId="17" fillId="0" borderId="0" xfId="0" applyFont="1" applyAlignment="1">
      <alignment horizontal="left" vertical="center"/>
    </xf>
    <xf numFmtId="0" fontId="18" fillId="0" borderId="7" xfId="0" applyFont="1" applyBorder="1" applyAlignment="1">
      <alignment horizontal="center" vertical="center" wrapText="1"/>
    </xf>
    <xf numFmtId="0" fontId="19" fillId="0" borderId="0" xfId="0" applyFont="1" applyAlignment="1">
      <alignment horizontal="left" vertical="center"/>
    </xf>
    <xf numFmtId="0" fontId="20" fillId="10" borderId="56" xfId="0" applyFont="1" applyFill="1" applyBorder="1" applyAlignment="1">
      <alignment horizontal="center" wrapText="1"/>
    </xf>
    <xf numFmtId="0" fontId="20" fillId="10" borderId="57" xfId="0" applyFont="1" applyFill="1" applyBorder="1" applyAlignment="1">
      <alignment horizontal="center" wrapText="1"/>
    </xf>
    <xf numFmtId="0" fontId="20" fillId="10" borderId="70" xfId="0" applyFont="1" applyFill="1" applyBorder="1" applyAlignment="1">
      <alignment horizontal="center" wrapText="1"/>
    </xf>
    <xf numFmtId="0" fontId="21" fillId="10" borderId="4" xfId="0" applyFont="1" applyFill="1" applyBorder="1" applyAlignment="1">
      <alignment horizontal="center" wrapText="1"/>
    </xf>
    <xf numFmtId="0" fontId="20" fillId="10" borderId="2" xfId="0" applyFont="1" applyFill="1" applyBorder="1" applyAlignment="1">
      <alignment horizontal="center" wrapText="1"/>
    </xf>
    <xf numFmtId="0" fontId="20" fillId="10" borderId="1" xfId="0" applyFont="1" applyFill="1" applyBorder="1" applyAlignment="1">
      <alignment horizontal="center" wrapText="1"/>
    </xf>
    <xf numFmtId="0" fontId="20" fillId="0" borderId="4" xfId="0" applyFont="1" applyBorder="1" applyAlignment="1">
      <alignment horizontal="center" wrapText="1"/>
    </xf>
    <xf numFmtId="0" fontId="20" fillId="0" borderId="2" xfId="0" applyFont="1" applyBorder="1" applyAlignment="1">
      <alignment horizontal="center" wrapText="1"/>
    </xf>
    <xf numFmtId="0" fontId="20" fillId="0" borderId="1" xfId="0" applyFont="1" applyBorder="1" applyAlignment="1">
      <alignment horizontal="center" wrapText="1"/>
    </xf>
    <xf numFmtId="0" fontId="22" fillId="0" borderId="0" xfId="0" applyFont="1" applyAlignment="1">
      <alignment horizontal="left" vertical="center"/>
    </xf>
    <xf numFmtId="0" fontId="8" fillId="0" borderId="3" xfId="0" applyFont="1" applyBorder="1" applyAlignment="1">
      <alignment horizontal="center" vertical="center" wrapText="1"/>
    </xf>
    <xf numFmtId="0" fontId="8" fillId="0" borderId="75" xfId="0" applyFont="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left" vertical="top"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3" fillId="0" borderId="0" xfId="0" applyFont="1" applyAlignment="1">
      <alignment horizontal="center" vertical="center" wrapText="1"/>
    </xf>
    <xf numFmtId="0" fontId="24" fillId="0" borderId="1" xfId="0" applyFont="1" applyBorder="1" applyAlignment="1">
      <alignment horizontal="left" vertical="center" wrapText="1"/>
    </xf>
    <xf numFmtId="0" fontId="20" fillId="0" borderId="0" xfId="0" applyFont="1" applyAlignment="1">
      <alignment horizontal="left" vertical="top" wrapText="1"/>
    </xf>
    <xf numFmtId="0" fontId="23" fillId="0" borderId="0" xfId="0" applyFont="1" applyAlignment="1">
      <alignment horizontal="left" vertical="top" wrapText="1"/>
    </xf>
    <xf numFmtId="0" fontId="0" fillId="0" borderId="0" xfId="0" applyAlignment="1"/>
    <xf numFmtId="0" fontId="25" fillId="0" borderId="0" xfId="0" applyFont="1" applyAlignment="1">
      <alignment horizontal="justify" vertical="center"/>
    </xf>
    <xf numFmtId="0" fontId="26" fillId="0" borderId="0" xfId="0" applyFont="1" applyAlignment="1">
      <alignment horizontal="right" vertical="top" wrapText="1"/>
    </xf>
    <xf numFmtId="0" fontId="26"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left" vertical="center"/>
    </xf>
    <xf numFmtId="0" fontId="13" fillId="0" borderId="0" xfId="0" applyFont="1" applyAlignment="1">
      <alignment horizontal="left" vertical="center"/>
    </xf>
    <xf numFmtId="0" fontId="33" fillId="0" borderId="0" xfId="0" applyFont="1" applyAlignment="1">
      <alignment horizontal="center" vertical="center"/>
    </xf>
    <xf numFmtId="0" fontId="5" fillId="0" borderId="3" xfId="0" applyFont="1" applyBorder="1" applyAlignment="1">
      <alignment horizontal="justify" vertical="center" wrapText="1"/>
    </xf>
    <xf numFmtId="0" fontId="5" fillId="0" borderId="10" xfId="0" applyFont="1" applyBorder="1" applyAlignment="1">
      <alignment horizontal="justify" vertical="center" wrapText="1"/>
    </xf>
    <xf numFmtId="0" fontId="34" fillId="0" borderId="10" xfId="0" applyFont="1" applyBorder="1" applyAlignment="1">
      <alignment horizontal="justify" vertical="top" wrapText="1"/>
    </xf>
    <xf numFmtId="0" fontId="5" fillId="0" borderId="100" xfId="0" applyFont="1" applyBorder="1" applyAlignment="1">
      <alignment horizontal="justify" vertical="center" wrapText="1"/>
    </xf>
    <xf numFmtId="0" fontId="34" fillId="0" borderId="0" xfId="0" applyFont="1" applyAlignment="1">
      <alignment horizontal="justify" vertical="top" wrapText="1"/>
    </xf>
    <xf numFmtId="0" fontId="35" fillId="0" borderId="10" xfId="0" applyFont="1" applyBorder="1" applyAlignment="1">
      <alignment horizontal="justify" vertical="center" wrapText="1"/>
    </xf>
    <xf numFmtId="0" fontId="35" fillId="0" borderId="0" xfId="0" applyFont="1" applyAlignment="1">
      <alignment horizontal="justify" vertical="center" wrapText="1"/>
    </xf>
    <xf numFmtId="0" fontId="38" fillId="0" borderId="10" xfId="0" applyFont="1" applyBorder="1" applyAlignment="1">
      <alignment horizontal="justify" vertical="top" wrapText="1"/>
    </xf>
    <xf numFmtId="0" fontId="39" fillId="0" borderId="10" xfId="0" applyFont="1" applyBorder="1" applyAlignment="1">
      <alignment horizontal="justify" vertical="center" wrapText="1"/>
    </xf>
    <xf numFmtId="0" fontId="35" fillId="0" borderId="3" xfId="0" applyFont="1" applyBorder="1" applyAlignment="1">
      <alignment horizontal="justify" vertical="center" wrapText="1"/>
    </xf>
    <xf numFmtId="0" fontId="35" fillId="0" borderId="4" xfId="0" applyFont="1" applyBorder="1" applyAlignment="1">
      <alignment horizontal="justify" vertical="center" wrapText="1"/>
    </xf>
    <xf numFmtId="0" fontId="35" fillId="0" borderId="9" xfId="0" applyFont="1" applyBorder="1" applyAlignment="1">
      <alignment horizontal="justify" vertical="center" wrapText="1"/>
    </xf>
    <xf numFmtId="0" fontId="35" fillId="0" borderId="19" xfId="0" applyFont="1" applyBorder="1" applyAlignment="1">
      <alignment horizontal="justify" vertical="center" wrapText="1"/>
    </xf>
    <xf numFmtId="0" fontId="38" fillId="0" borderId="8" xfId="0" applyFont="1" applyBorder="1" applyAlignment="1">
      <alignment horizontal="justify" vertical="center" wrapText="1"/>
    </xf>
    <xf numFmtId="0" fontId="35" fillId="0" borderId="10" xfId="0" applyFont="1" applyBorder="1" applyAlignment="1">
      <alignment horizontal="center" vertical="center" wrapText="1"/>
    </xf>
    <xf numFmtId="0" fontId="35" fillId="0" borderId="0" xfId="0" applyFont="1" applyAlignment="1">
      <alignment horizontal="center" vertical="center" wrapText="1"/>
    </xf>
    <xf numFmtId="0" fontId="0" fillId="0" borderId="11" xfId="0"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0" fillId="0" borderId="10" xfId="0" applyBorder="1" applyAlignment="1">
      <alignment vertical="center" wrapText="1"/>
    </xf>
    <xf numFmtId="0" fontId="0" fillId="0" borderId="0" xfId="0" applyAlignment="1">
      <alignment vertical="center" wrapText="1"/>
    </xf>
    <xf numFmtId="0" fontId="36" fillId="0" borderId="0" xfId="0" applyFont="1" applyAlignment="1">
      <alignment horizontal="center" vertical="center" wrapText="1"/>
    </xf>
    <xf numFmtId="0" fontId="36" fillId="0" borderId="20" xfId="0" applyFont="1" applyBorder="1" applyAlignment="1">
      <alignment horizontal="right" wrapText="1" indent="1"/>
    </xf>
    <xf numFmtId="0" fontId="36" fillId="0" borderId="10" xfId="0" applyFont="1" applyBorder="1" applyAlignment="1">
      <alignment horizontal="right" wrapText="1" indent="1"/>
    </xf>
    <xf numFmtId="0" fontId="35" fillId="0" borderId="20" xfId="0" applyFont="1" applyBorder="1" applyAlignment="1">
      <alignment horizontal="right" vertical="center" wrapText="1"/>
    </xf>
    <xf numFmtId="0" fontId="35" fillId="0" borderId="10" xfId="0" applyFont="1" applyBorder="1" applyAlignment="1">
      <alignment horizontal="right" wrapText="1" indent="1"/>
    </xf>
    <xf numFmtId="0" fontId="36" fillId="0" borderId="6" xfId="0" applyFont="1" applyBorder="1" applyAlignment="1">
      <alignment horizontal="center" vertical="center" wrapText="1"/>
    </xf>
    <xf numFmtId="0" fontId="0" fillId="0" borderId="6" xfId="0" applyBorder="1" applyAlignment="1">
      <alignment vertical="center" wrapText="1"/>
    </xf>
    <xf numFmtId="0" fontId="36" fillId="0" borderId="7" xfId="0" applyFont="1" applyBorder="1" applyAlignment="1">
      <alignment horizontal="right" wrapText="1" indent="1"/>
    </xf>
    <xf numFmtId="0" fontId="36" fillId="0" borderId="8" xfId="0" applyFont="1" applyBorder="1" applyAlignment="1">
      <alignment horizontal="right" wrapText="1" indent="1"/>
    </xf>
    <xf numFmtId="0" fontId="33" fillId="0" borderId="0" xfId="0" applyFont="1" applyAlignment="1">
      <alignment horizontal="justify" vertical="center"/>
    </xf>
    <xf numFmtId="0" fontId="29" fillId="0" borderId="91" xfId="0" applyFont="1" applyBorder="1" applyAlignment="1">
      <alignment horizontal="justify" vertical="center" wrapText="1"/>
    </xf>
    <xf numFmtId="0" fontId="29" fillId="0" borderId="92" xfId="0" applyFont="1" applyBorder="1" applyAlignment="1">
      <alignment horizontal="justify" vertical="center" wrapText="1"/>
    </xf>
    <xf numFmtId="0" fontId="29" fillId="0" borderId="94" xfId="0" applyFont="1" applyBorder="1" applyAlignment="1">
      <alignment horizontal="justify" vertical="center" wrapText="1"/>
    </xf>
    <xf numFmtId="0" fontId="29" fillId="0" borderId="95" xfId="0" applyFont="1" applyBorder="1" applyAlignment="1">
      <alignment horizontal="justify" vertical="center" wrapText="1"/>
    </xf>
    <xf numFmtId="0" fontId="29" fillId="0" borderId="91" xfId="0" applyFont="1" applyBorder="1" applyAlignment="1">
      <alignment horizontal="center" vertical="center" wrapText="1"/>
    </xf>
    <xf numFmtId="0" fontId="29" fillId="0" borderId="94" xfId="0" applyFont="1" applyBorder="1" applyAlignment="1">
      <alignment horizontal="center" vertical="center" wrapText="1"/>
    </xf>
    <xf numFmtId="0" fontId="20" fillId="9" borderId="60"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20" fillId="9" borderId="72" xfId="0" applyFont="1" applyFill="1" applyBorder="1" applyAlignment="1">
      <alignment horizontal="center" vertical="center" wrapText="1"/>
    </xf>
    <xf numFmtId="0" fontId="20" fillId="9" borderId="64" xfId="0" applyFont="1" applyFill="1" applyBorder="1" applyAlignment="1">
      <alignment horizontal="center" vertical="center" wrapText="1"/>
    </xf>
    <xf numFmtId="0" fontId="20" fillId="9" borderId="65" xfId="0" applyFont="1" applyFill="1" applyBorder="1" applyAlignment="1">
      <alignment horizontal="center" vertical="center" wrapText="1"/>
    </xf>
    <xf numFmtId="0" fontId="20" fillId="9" borderId="73" xfId="0" applyFont="1" applyFill="1" applyBorder="1" applyAlignment="1">
      <alignment horizontal="center" vertical="center" wrapText="1"/>
    </xf>
    <xf numFmtId="0" fontId="5" fillId="0" borderId="24" xfId="0" applyFont="1" applyBorder="1" applyAlignment="1">
      <alignment vertical="center" wrapText="1"/>
    </xf>
    <xf numFmtId="0" fontId="5" fillId="0" borderId="24" xfId="0" applyFont="1" applyBorder="1" applyAlignment="1">
      <alignment horizontal="justify" vertical="center" wrapText="1"/>
    </xf>
    <xf numFmtId="0" fontId="5" fillId="0" borderId="21" xfId="0" applyFont="1" applyBorder="1" applyAlignment="1">
      <alignment horizontal="justify" vertical="center" wrapText="1"/>
    </xf>
    <xf numFmtId="181" fontId="0" fillId="11" borderId="1" xfId="0" applyNumberFormat="1" applyFill="1" applyBorder="1">
      <alignment vertical="center"/>
    </xf>
    <xf numFmtId="0" fontId="0" fillId="12" borderId="39" xfId="0" applyFill="1" applyBorder="1" applyProtection="1">
      <alignment vertical="center"/>
      <protection locked="0"/>
    </xf>
    <xf numFmtId="0" fontId="0" fillId="12" borderId="46" xfId="0" applyFill="1" applyBorder="1" applyAlignment="1" applyProtection="1">
      <alignment vertical="center" shrinkToFit="1"/>
      <protection locked="0"/>
    </xf>
    <xf numFmtId="0" fontId="0" fillId="12" borderId="48" xfId="0" applyFill="1" applyBorder="1" applyProtection="1">
      <alignment vertical="center"/>
      <protection locked="0"/>
    </xf>
    <xf numFmtId="0" fontId="0" fillId="12" borderId="50" xfId="0" applyFill="1" applyBorder="1" applyAlignment="1" applyProtection="1">
      <alignment vertical="center" shrinkToFit="1"/>
      <protection locked="0"/>
    </xf>
    <xf numFmtId="0" fontId="0" fillId="0" borderId="0" xfId="0" applyAlignment="1">
      <alignment horizontal="center" vertical="center"/>
    </xf>
    <xf numFmtId="0" fontId="0" fillId="0" borderId="1" xfId="0" applyBorder="1">
      <alignment vertical="center"/>
    </xf>
    <xf numFmtId="0" fontId="0" fillId="0" borderId="118" xfId="0" applyBorder="1">
      <alignment vertical="center"/>
    </xf>
    <xf numFmtId="0" fontId="0" fillId="0" borderId="119" xfId="0" applyBorder="1">
      <alignment vertical="center"/>
    </xf>
    <xf numFmtId="0" fontId="35" fillId="0" borderId="0" xfId="0" applyFont="1" applyAlignment="1">
      <alignment vertical="center" shrinkToFit="1"/>
    </xf>
    <xf numFmtId="0" fontId="0" fillId="4" borderId="0" xfId="0" applyFill="1">
      <alignment vertical="center"/>
    </xf>
    <xf numFmtId="0" fontId="41" fillId="0" borderId="0" xfId="0" applyFont="1">
      <alignment vertical="center"/>
    </xf>
    <xf numFmtId="0" fontId="43" fillId="0" borderId="0" xfId="0" applyFont="1">
      <alignment vertical="center"/>
    </xf>
    <xf numFmtId="0" fontId="0" fillId="0" borderId="3" xfId="0" applyBorder="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44" fillId="0" borderId="1" xfId="0" applyFont="1" applyBorder="1">
      <alignment vertical="center"/>
    </xf>
    <xf numFmtId="0" fontId="0" fillId="3" borderId="1" xfId="0" applyFill="1" applyBorder="1">
      <alignment vertical="center"/>
    </xf>
    <xf numFmtId="0" fontId="44" fillId="0" borderId="0" xfId="0" applyFont="1">
      <alignment vertical="center"/>
    </xf>
    <xf numFmtId="0" fontId="0" fillId="0" borderId="78" xfId="0" applyBorder="1">
      <alignment vertical="center"/>
    </xf>
    <xf numFmtId="0" fontId="0" fillId="0" borderId="62" xfId="0" applyBorder="1">
      <alignment vertical="center"/>
    </xf>
    <xf numFmtId="0" fontId="0" fillId="0" borderId="9" xfId="0" applyBorder="1">
      <alignment vertical="center"/>
    </xf>
    <xf numFmtId="38" fontId="0" fillId="0" borderId="1" xfId="1" applyFont="1" applyBorder="1">
      <alignment vertical="center"/>
    </xf>
    <xf numFmtId="38" fontId="0" fillId="0" borderId="1" xfId="1" applyFont="1" applyFill="1" applyBorder="1">
      <alignment vertical="center"/>
    </xf>
    <xf numFmtId="177" fontId="0" fillId="0" borderId="1" xfId="0" applyNumberFormat="1" applyBorder="1" applyAlignment="1">
      <alignment horizontal="center" vertical="center" shrinkToFit="1"/>
    </xf>
    <xf numFmtId="0" fontId="0" fillId="0" borderId="1" xfId="0" applyBorder="1" applyAlignment="1">
      <alignment horizontal="center" vertical="center" shrinkToFit="1"/>
    </xf>
    <xf numFmtId="182" fontId="0" fillId="2" borderId="48" xfId="0" applyNumberFormat="1" applyFill="1" applyBorder="1">
      <alignment vertical="center"/>
    </xf>
    <xf numFmtId="182" fontId="0" fillId="2" borderId="46" xfId="0" applyNumberFormat="1" applyFill="1" applyBorder="1">
      <alignment vertical="center"/>
    </xf>
    <xf numFmtId="182" fontId="0" fillId="2" borderId="50" xfId="0" applyNumberFormat="1" applyFill="1" applyBorder="1">
      <alignment vertical="center"/>
    </xf>
    <xf numFmtId="0" fontId="3" fillId="0" borderId="38" xfId="0" applyFont="1" applyBorder="1">
      <alignment vertical="center"/>
    </xf>
    <xf numFmtId="0" fontId="3" fillId="0" borderId="39" xfId="0" applyFont="1" applyBorder="1">
      <alignment vertical="center"/>
    </xf>
    <xf numFmtId="0" fontId="3" fillId="0" borderId="40" xfId="0" applyFont="1" applyBorder="1">
      <alignment vertical="center"/>
    </xf>
    <xf numFmtId="183" fontId="0" fillId="3" borderId="4" xfId="0" applyNumberFormat="1" applyFill="1" applyBorder="1" applyAlignment="1">
      <alignment horizontal="center" vertical="center"/>
    </xf>
    <xf numFmtId="38" fontId="0" fillId="0" borderId="124" xfId="1" applyFont="1" applyBorder="1">
      <alignment vertical="center"/>
    </xf>
    <xf numFmtId="31" fontId="0" fillId="0" borderId="1" xfId="0" applyNumberFormat="1" applyBorder="1">
      <alignment vertical="center"/>
    </xf>
    <xf numFmtId="0" fontId="0" fillId="15" borderId="1" xfId="0" applyFill="1" applyBorder="1">
      <alignment vertical="center"/>
    </xf>
    <xf numFmtId="182" fontId="0" fillId="0" borderId="10" xfId="0" applyNumberFormat="1" applyBorder="1">
      <alignment vertical="center"/>
    </xf>
    <xf numFmtId="182" fontId="0" fillId="0" borderId="10" xfId="0" applyNumberFormat="1" applyBorder="1" applyAlignment="1">
      <alignment vertical="center" shrinkToFit="1"/>
    </xf>
    <xf numFmtId="184" fontId="0" fillId="3" borderId="4" xfId="0" applyNumberFormat="1" applyFill="1" applyBorder="1" applyAlignment="1">
      <alignment horizontal="center" vertical="center"/>
    </xf>
    <xf numFmtId="38" fontId="0" fillId="15" borderId="1" xfId="1" applyFont="1" applyFill="1" applyBorder="1">
      <alignment vertical="center"/>
    </xf>
    <xf numFmtId="38" fontId="0" fillId="15" borderId="2" xfId="1" applyFont="1" applyFill="1" applyBorder="1">
      <alignment vertical="center"/>
    </xf>
    <xf numFmtId="0" fontId="0" fillId="2" borderId="12" xfId="0" applyFill="1" applyBorder="1" applyAlignment="1" applyProtection="1">
      <alignment horizontal="center" vertical="center"/>
      <protection locked="0"/>
    </xf>
    <xf numFmtId="0" fontId="0" fillId="4" borderId="117" xfId="0" applyFill="1" applyBorder="1" applyAlignment="1">
      <alignment vertical="center" shrinkToFit="1"/>
    </xf>
    <xf numFmtId="176" fontId="5" fillId="0" borderId="23" xfId="0" applyNumberFormat="1" applyFont="1" applyBorder="1" applyAlignment="1">
      <alignment vertical="top" wrapText="1"/>
    </xf>
    <xf numFmtId="176" fontId="5" fillId="0" borderId="0" xfId="0" applyNumberFormat="1" applyFont="1" applyAlignment="1">
      <alignment horizontal="right" vertical="center" wrapText="1" indent="3"/>
    </xf>
    <xf numFmtId="0" fontId="5" fillId="0" borderId="1" xfId="0" applyFont="1" applyBorder="1" applyAlignment="1">
      <alignment horizontal="center" vertical="top" wrapText="1"/>
    </xf>
    <xf numFmtId="0" fontId="0" fillId="2" borderId="117" xfId="0" applyFill="1"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9" fillId="0" borderId="0" xfId="0" applyFont="1">
      <alignment vertical="center"/>
    </xf>
    <xf numFmtId="0" fontId="48" fillId="0" borderId="0" xfId="0" applyFont="1" applyAlignment="1">
      <alignment horizontal="right" vertical="center" wrapText="1"/>
    </xf>
    <xf numFmtId="0" fontId="45" fillId="8" borderId="5" xfId="0" applyFont="1" applyFill="1" applyBorder="1" applyAlignment="1">
      <alignment vertical="center" textRotation="255" wrapText="1"/>
    </xf>
    <xf numFmtId="0" fontId="46" fillId="8" borderId="1" xfId="0" applyFont="1" applyFill="1" applyBorder="1" applyAlignment="1">
      <alignment vertical="center" textRotation="255" wrapText="1"/>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0" fillId="8" borderId="111" xfId="0" applyFill="1" applyBorder="1">
      <alignment vertical="center"/>
    </xf>
    <xf numFmtId="0" fontId="0" fillId="8" borderId="112" xfId="0" applyFill="1" applyBorder="1">
      <alignment vertical="center"/>
    </xf>
    <xf numFmtId="0" fontId="3" fillId="0" borderId="1" xfId="0" applyFont="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0" fontId="0" fillId="8" borderId="107" xfId="0" applyFill="1" applyBorder="1">
      <alignment vertical="center"/>
    </xf>
    <xf numFmtId="0" fontId="0" fillId="8" borderId="12" xfId="0" applyFill="1" applyBorder="1">
      <alignment vertical="center"/>
    </xf>
    <xf numFmtId="0" fontId="0" fillId="8" borderId="122" xfId="0" applyFill="1" applyBorder="1">
      <alignment vertical="center"/>
    </xf>
    <xf numFmtId="0" fontId="0" fillId="8" borderId="13" xfId="0" applyFill="1" applyBorder="1">
      <alignment vertical="center"/>
    </xf>
    <xf numFmtId="0" fontId="0" fillId="8" borderId="114" xfId="0" applyFill="1" applyBorder="1">
      <alignment vertical="center"/>
    </xf>
    <xf numFmtId="0" fontId="0" fillId="8" borderId="115" xfId="0" applyFill="1" applyBorder="1">
      <alignment vertical="center"/>
    </xf>
    <xf numFmtId="0" fontId="0" fillId="2" borderId="113" xfId="0" applyFill="1" applyBorder="1" applyProtection="1">
      <alignment vertical="center"/>
      <protection locked="0"/>
    </xf>
    <xf numFmtId="0" fontId="0" fillId="2" borderId="109" xfId="0" applyFill="1" applyBorder="1" applyProtection="1">
      <alignment vertical="center"/>
      <protection locked="0"/>
    </xf>
    <xf numFmtId="0" fontId="0" fillId="2" borderId="4" xfId="0" applyFill="1" applyBorder="1" applyProtection="1">
      <alignment vertical="center"/>
      <protection locked="0"/>
    </xf>
    <xf numFmtId="0" fontId="0" fillId="2" borderId="1" xfId="0" applyFill="1" applyBorder="1" applyProtection="1">
      <alignment vertical="center"/>
      <protection locked="0"/>
    </xf>
    <xf numFmtId="0" fontId="0" fillId="2" borderId="112" xfId="0" applyFill="1" applyBorder="1" applyAlignment="1" applyProtection="1">
      <alignment horizontal="center" vertical="center"/>
      <protection locked="0"/>
    </xf>
    <xf numFmtId="0" fontId="0" fillId="2" borderId="113" xfId="0" applyFill="1" applyBorder="1" applyAlignment="1" applyProtection="1">
      <alignment horizontal="center" vertical="center"/>
      <protection locked="0"/>
    </xf>
    <xf numFmtId="0" fontId="0" fillId="2" borderId="12" xfId="0" applyFill="1" applyBorder="1" applyProtection="1">
      <alignment vertical="center"/>
      <protection locked="0"/>
    </xf>
    <xf numFmtId="0" fontId="0" fillId="2" borderId="108" xfId="0" applyFill="1" applyBorder="1" applyProtection="1">
      <alignment vertical="center"/>
      <protection locked="0"/>
    </xf>
    <xf numFmtId="0" fontId="0" fillId="8" borderId="123" xfId="0" applyFill="1" applyBorder="1">
      <alignment vertical="center"/>
    </xf>
    <xf numFmtId="0" fontId="0" fillId="8" borderId="14" xfId="0" applyFill="1" applyBorder="1">
      <alignment vertical="center"/>
    </xf>
    <xf numFmtId="0" fontId="10" fillId="0" borderId="0" xfId="0" applyFont="1" applyAlignment="1">
      <alignment horizontal="center" vertical="center"/>
    </xf>
    <xf numFmtId="0" fontId="0" fillId="2" borderId="12" xfId="0" applyFill="1" applyBorder="1" applyAlignment="1" applyProtection="1">
      <alignment horizontal="left" vertical="center"/>
      <protection locked="0"/>
    </xf>
    <xf numFmtId="0" fontId="0" fillId="2" borderId="108" xfId="0" applyFill="1" applyBorder="1" applyAlignment="1" applyProtection="1">
      <alignment horizontal="left" vertical="center"/>
      <protection locked="0"/>
    </xf>
    <xf numFmtId="0" fontId="0" fillId="2" borderId="110" xfId="0" applyFill="1" applyBorder="1" applyAlignment="1" applyProtection="1">
      <alignment horizontal="left" vertical="center"/>
      <protection locked="0"/>
    </xf>
    <xf numFmtId="0" fontId="0" fillId="2" borderId="116" xfId="0" applyFill="1" applyBorder="1" applyAlignment="1" applyProtection="1">
      <alignment horizontal="left" vertical="center"/>
      <protection locked="0"/>
    </xf>
    <xf numFmtId="0" fontId="0" fillId="2" borderId="106" xfId="0" applyFill="1" applyBorder="1" applyAlignment="1" applyProtection="1">
      <alignment horizontal="left" vertical="center"/>
      <protection locked="0"/>
    </xf>
    <xf numFmtId="31" fontId="0" fillId="2" borderId="4" xfId="0" applyNumberFormat="1" applyFill="1" applyBorder="1" applyAlignment="1" applyProtection="1">
      <alignment horizontal="left" vertical="center"/>
      <protection locked="0"/>
    </xf>
    <xf numFmtId="31" fontId="0" fillId="2" borderId="1" xfId="0" applyNumberFormat="1" applyFill="1" applyBorder="1" applyAlignment="1" applyProtection="1">
      <alignment horizontal="left" vertical="center"/>
      <protection locked="0"/>
    </xf>
    <xf numFmtId="0" fontId="0" fillId="2" borderId="116" xfId="0" applyFill="1" applyBorder="1" applyProtection="1">
      <alignment vertical="center"/>
      <protection locked="0"/>
    </xf>
    <xf numFmtId="0" fontId="0" fillId="2" borderId="106" xfId="0" applyFill="1" applyBorder="1" applyProtection="1">
      <alignment vertical="center"/>
      <protection locked="0"/>
    </xf>
    <xf numFmtId="0" fontId="0" fillId="8" borderId="120" xfId="0" applyFill="1" applyBorder="1" applyAlignment="1">
      <alignment vertical="center" shrinkToFit="1"/>
    </xf>
    <xf numFmtId="0" fontId="0" fillId="2" borderId="120" xfId="0" applyFill="1" applyBorder="1" applyAlignment="1" applyProtection="1">
      <alignment vertical="center" shrinkToFit="1"/>
      <protection locked="0"/>
    </xf>
    <xf numFmtId="0" fontId="0" fillId="2" borderId="121" xfId="0" applyFill="1" applyBorder="1" applyAlignment="1" applyProtection="1">
      <alignment vertical="center" shrinkToFit="1"/>
      <protection locked="0"/>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0" fillId="8" borderId="12" xfId="0" applyFill="1" applyBorder="1" applyAlignment="1">
      <alignment vertical="center" shrinkToFit="1"/>
    </xf>
    <xf numFmtId="0" fontId="0" fillId="2" borderId="12" xfId="0" applyFill="1" applyBorder="1" applyAlignment="1" applyProtection="1">
      <alignment horizontal="center" vertical="center"/>
      <protection locked="0"/>
    </xf>
    <xf numFmtId="0" fontId="0" fillId="2" borderId="119" xfId="0" applyFill="1" applyBorder="1" applyAlignment="1" applyProtection="1">
      <alignment horizontal="center" vertical="center"/>
      <protection locked="0"/>
    </xf>
    <xf numFmtId="0" fontId="0" fillId="4" borderId="117" xfId="0" applyFill="1" applyBorder="1" applyAlignment="1">
      <alignment vertical="center" shrinkToFit="1"/>
    </xf>
    <xf numFmtId="0" fontId="0" fillId="4" borderId="12" xfId="0" applyFill="1" applyBorder="1" applyAlignment="1">
      <alignment vertical="center" shrinkToFit="1"/>
    </xf>
    <xf numFmtId="0" fontId="0" fillId="2" borderId="117" xfId="0" applyFill="1" applyBorder="1" applyAlignment="1" applyProtection="1">
      <alignment horizontal="center" vertical="center"/>
      <protection locked="0"/>
    </xf>
    <xf numFmtId="0" fontId="0" fillId="2" borderId="118" xfId="0" applyFill="1" applyBorder="1" applyAlignment="1" applyProtection="1">
      <alignment horizontal="center" vertical="center"/>
      <protection locked="0"/>
    </xf>
    <xf numFmtId="0" fontId="0" fillId="2" borderId="120" xfId="0" applyFill="1" applyBorder="1" applyAlignment="1" applyProtection="1">
      <alignment horizontal="center" vertical="center"/>
      <protection locked="0"/>
    </xf>
    <xf numFmtId="0" fontId="0" fillId="2" borderId="121" xfId="0" applyFill="1" applyBorder="1" applyAlignment="1" applyProtection="1">
      <alignment horizontal="center" vertical="center"/>
      <protection locked="0"/>
    </xf>
    <xf numFmtId="0" fontId="0" fillId="4" borderId="120" xfId="0" applyFill="1" applyBorder="1">
      <alignment vertical="center"/>
    </xf>
    <xf numFmtId="181" fontId="0" fillId="0" borderId="2" xfId="0" applyNumberFormat="1" applyBorder="1" applyAlignment="1">
      <alignment horizontal="center" vertical="center"/>
    </xf>
    <xf numFmtId="181" fontId="0" fillId="0" borderId="3" xfId="0" applyNumberFormat="1" applyBorder="1" applyAlignment="1">
      <alignment horizontal="center" vertical="center"/>
    </xf>
    <xf numFmtId="181" fontId="0" fillId="0" borderId="4" xfId="0" applyNumberFormat="1" applyBorder="1" applyAlignment="1">
      <alignment horizontal="center" vertical="center"/>
    </xf>
    <xf numFmtId="182" fontId="0" fillId="0" borderId="1" xfId="0" applyNumberFormat="1" applyBorder="1">
      <alignment vertical="center"/>
    </xf>
    <xf numFmtId="182" fontId="0" fillId="0" borderId="2" xfId="0" applyNumberFormat="1" applyBorder="1" applyAlignment="1">
      <alignment horizontal="center" vertical="center"/>
    </xf>
    <xf numFmtId="182" fontId="0" fillId="0" borderId="3" xfId="0" applyNumberFormat="1" applyBorder="1" applyAlignment="1">
      <alignment horizontal="center" vertical="center"/>
    </xf>
    <xf numFmtId="182" fontId="0" fillId="0" borderId="4" xfId="0" applyNumberFormat="1" applyBorder="1" applyAlignment="1">
      <alignment horizontal="center" vertical="center"/>
    </xf>
    <xf numFmtId="182" fontId="0" fillId="0" borderId="1" xfId="0" applyNumberFormat="1" applyBorder="1" applyAlignment="1">
      <alignment horizontal="center" vertical="center"/>
    </xf>
    <xf numFmtId="182" fontId="0" fillId="0" borderId="2" xfId="0" applyNumberFormat="1" applyBorder="1">
      <alignment vertical="center"/>
    </xf>
    <xf numFmtId="182" fontId="0" fillId="0" borderId="4" xfId="0" applyNumberFormat="1" applyBorder="1">
      <alignment vertical="center"/>
    </xf>
    <xf numFmtId="182" fontId="0" fillId="0" borderId="0" xfId="0" applyNumberFormat="1">
      <alignment vertical="center"/>
    </xf>
    <xf numFmtId="0" fontId="3" fillId="0" borderId="124"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62" xfId="0" applyFont="1" applyBorder="1" applyAlignment="1">
      <alignment horizontal="center" vertical="center"/>
    </xf>
    <xf numFmtId="0" fontId="3" fillId="0" borderId="5" xfId="0" applyFont="1" applyBorder="1" applyAlignment="1">
      <alignment horizontal="center" vertical="center"/>
    </xf>
    <xf numFmtId="0" fontId="3" fillId="0" borderId="6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14" borderId="125" xfId="0" applyFont="1" applyFill="1" applyBorder="1" applyAlignment="1">
      <alignment horizontal="center" vertical="center"/>
    </xf>
    <xf numFmtId="0" fontId="3" fillId="14" borderId="6" xfId="0" applyFont="1" applyFill="1" applyBorder="1" applyAlignment="1">
      <alignment horizontal="center" vertical="center"/>
    </xf>
    <xf numFmtId="0" fontId="0" fillId="0" borderId="0" xfId="0" applyAlignment="1">
      <alignment horizontal="left" vertical="center"/>
    </xf>
    <xf numFmtId="0" fontId="0" fillId="13" borderId="6" xfId="0" applyFill="1" applyBorder="1" applyAlignment="1">
      <alignment horizontal="center" vertical="center"/>
    </xf>
    <xf numFmtId="0" fontId="0" fillId="13" borderId="126" xfId="0" applyFill="1" applyBorder="1" applyAlignment="1">
      <alignment horizontal="center" vertical="center"/>
    </xf>
    <xf numFmtId="0" fontId="13" fillId="0" borderId="6" xfId="0" applyFont="1" applyBorder="1" applyAlignment="1">
      <alignment horizontal="justify" vertical="top" wrapText="1"/>
    </xf>
    <xf numFmtId="0" fontId="2" fillId="0" borderId="0" xfId="0" applyFont="1" applyAlignment="1">
      <alignment horizontal="right" vertical="center" wrapText="1"/>
    </xf>
    <xf numFmtId="0" fontId="0" fillId="0" borderId="0" xfId="0">
      <alignment vertical="center"/>
    </xf>
    <xf numFmtId="0" fontId="5" fillId="0" borderId="1" xfId="0" applyFont="1" applyBorder="1" applyAlignment="1">
      <alignment horizontal="justify" vertical="top" wrapText="1"/>
    </xf>
    <xf numFmtId="0" fontId="5" fillId="0" borderId="32" xfId="0" applyFont="1" applyBorder="1" applyAlignment="1">
      <alignment horizontal="center" vertical="center" wrapText="1"/>
    </xf>
    <xf numFmtId="0" fontId="5" fillId="0" borderId="33" xfId="0" applyFont="1" applyBorder="1" applyAlignment="1">
      <alignment horizontal="center" vertical="center" wrapText="1"/>
    </xf>
    <xf numFmtId="0" fontId="13" fillId="0" borderId="0" xfId="0" applyFont="1" applyAlignment="1">
      <alignment horizontal="justify" vertical="top" wrapText="1"/>
    </xf>
    <xf numFmtId="0" fontId="13" fillId="0" borderId="0" xfId="0" applyFont="1" applyAlignment="1">
      <alignment horizontal="left" vertical="top" wrapText="1"/>
    </xf>
    <xf numFmtId="0" fontId="5" fillId="0" borderId="0" xfId="0" applyFont="1" applyAlignment="1">
      <alignment horizontal="justify" vertical="top" wrapText="1"/>
    </xf>
    <xf numFmtId="0" fontId="5" fillId="0" borderId="21" xfId="0" applyFont="1" applyBorder="1" applyAlignment="1">
      <alignment horizontal="justify" vertical="top" wrapText="1"/>
    </xf>
    <xf numFmtId="0" fontId="5" fillId="0" borderId="0" xfId="0" applyFont="1" applyAlignment="1">
      <alignment horizontal="center" vertical="top" wrapText="1"/>
    </xf>
    <xf numFmtId="0" fontId="5" fillId="0" borderId="21" xfId="0" applyFont="1" applyBorder="1" applyAlignment="1">
      <alignment horizontal="center" vertical="top" wrapText="1"/>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25" xfId="0" applyFont="1" applyBorder="1" applyAlignment="1">
      <alignment horizontal="justify" vertical="top" wrapText="1"/>
    </xf>
    <xf numFmtId="0" fontId="5" fillId="0" borderId="26" xfId="0" applyFont="1" applyBorder="1" applyAlignment="1">
      <alignment horizontal="justify" vertical="top" wrapText="1"/>
    </xf>
    <xf numFmtId="0" fontId="5" fillId="0" borderId="24" xfId="0" applyFont="1" applyBorder="1" applyAlignment="1">
      <alignment horizontal="left" vertical="top" wrapText="1"/>
    </xf>
    <xf numFmtId="0" fontId="5" fillId="0" borderId="0" xfId="0" applyFont="1" applyAlignment="1">
      <alignment horizontal="left" vertical="top" wrapText="1"/>
    </xf>
    <xf numFmtId="0" fontId="5" fillId="0" borderId="24" xfId="0" applyFont="1" applyBorder="1" applyAlignment="1">
      <alignment horizontal="right" vertical="center" wrapText="1"/>
    </xf>
    <xf numFmtId="0" fontId="5" fillId="0" borderId="0" xfId="0" applyFont="1" applyAlignment="1">
      <alignment horizontal="right" vertical="center" wrapText="1"/>
    </xf>
    <xf numFmtId="0" fontId="5" fillId="0" borderId="0" xfId="0" applyFont="1" applyAlignment="1">
      <alignment horizontal="left" vertical="center" wrapText="1" indent="1"/>
    </xf>
    <xf numFmtId="0" fontId="5" fillId="0" borderId="21" xfId="0" applyFont="1" applyBorder="1" applyAlignment="1">
      <alignment horizontal="left" vertical="center" wrapText="1" indent="1"/>
    </xf>
    <xf numFmtId="0" fontId="5" fillId="0" borderId="24" xfId="0" applyFont="1" applyBorder="1" applyAlignment="1">
      <alignment horizontal="right" vertical="top" wrapText="1"/>
    </xf>
    <xf numFmtId="0" fontId="5" fillId="0" borderId="0" xfId="0" applyFont="1" applyAlignment="1">
      <alignment horizontal="right" vertical="top" wrapText="1"/>
    </xf>
    <xf numFmtId="0" fontId="5" fillId="0" borderId="0" xfId="0" applyFont="1" applyAlignment="1">
      <alignment horizontal="left" vertical="top" wrapText="1" indent="1"/>
    </xf>
    <xf numFmtId="0" fontId="5" fillId="0" borderId="21" xfId="0" applyFont="1" applyBorder="1" applyAlignment="1">
      <alignment horizontal="left" vertical="top" wrapText="1" indent="1"/>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2" fillId="0" borderId="0" xfId="0" applyFont="1" applyAlignment="1">
      <alignment horizontal="center" vertical="center" wrapText="1"/>
    </xf>
    <xf numFmtId="0" fontId="5" fillId="0" borderId="0" xfId="0" applyFont="1" applyAlignment="1">
      <alignment horizontal="justify" vertical="center" wrapText="1"/>
    </xf>
    <xf numFmtId="0" fontId="5" fillId="0" borderId="6" xfId="0" applyFont="1" applyBorder="1" applyAlignment="1">
      <alignment horizontal="justify" vertical="top" wrapText="1"/>
    </xf>
    <xf numFmtId="0" fontId="5" fillId="0" borderId="1" xfId="0" applyFont="1" applyBorder="1" applyAlignment="1">
      <alignment horizontal="center" vertical="top" wrapText="1"/>
    </xf>
    <xf numFmtId="0" fontId="14" fillId="0" borderId="0" xfId="0" applyFont="1" applyAlignment="1">
      <alignment horizontal="left" vertical="center" wrapText="1"/>
    </xf>
    <xf numFmtId="0" fontId="5" fillId="0" borderId="2" xfId="0" applyFont="1" applyBorder="1" applyAlignment="1">
      <alignment horizontal="center" vertical="top" wrapText="1"/>
    </xf>
    <xf numFmtId="0" fontId="5" fillId="0" borderId="4" xfId="0" applyFont="1" applyBorder="1" applyAlignment="1">
      <alignment horizontal="center" vertical="top" wrapText="1"/>
    </xf>
    <xf numFmtId="0" fontId="5" fillId="0" borderId="21" xfId="0" applyFont="1" applyBorder="1" applyAlignment="1">
      <alignment horizontal="justify" vertical="center" wrapText="1"/>
    </xf>
    <xf numFmtId="0" fontId="5" fillId="0" borderId="9" xfId="0" applyFont="1" applyBorder="1" applyAlignment="1">
      <alignment horizontal="justify" vertical="top" wrapText="1"/>
    </xf>
    <xf numFmtId="0" fontId="2" fillId="0" borderId="0" xfId="0" applyFont="1" applyAlignment="1">
      <alignment horizontal="center" vertical="top" wrapText="1"/>
    </xf>
    <xf numFmtId="176" fontId="5" fillId="0" borderId="22" xfId="0" applyNumberFormat="1" applyFont="1" applyBorder="1" applyAlignment="1">
      <alignment horizontal="right" vertical="center" wrapText="1"/>
    </xf>
    <xf numFmtId="176" fontId="5" fillId="0" borderId="23" xfId="0" applyNumberFormat="1" applyFont="1" applyBorder="1" applyAlignment="1">
      <alignment horizontal="right" vertical="center" wrapText="1"/>
    </xf>
    <xf numFmtId="0" fontId="5" fillId="0" borderId="24" xfId="0" applyFont="1" applyBorder="1" applyAlignment="1">
      <alignment horizontal="justify" vertical="top" wrapText="1"/>
    </xf>
    <xf numFmtId="0" fontId="5" fillId="0" borderId="0" xfId="0" applyFont="1" applyAlignment="1">
      <alignment horizontal="left" vertical="center" wrapText="1"/>
    </xf>
    <xf numFmtId="14" fontId="5" fillId="0" borderId="0" xfId="0" applyNumberFormat="1" applyFont="1" applyAlignment="1">
      <alignment horizontal="left" vertical="center" wrapText="1"/>
    </xf>
    <xf numFmtId="0" fontId="5" fillId="0" borderId="21" xfId="0" applyFont="1" applyBorder="1" applyAlignment="1">
      <alignment horizontal="left" vertical="center" wrapText="1"/>
    </xf>
    <xf numFmtId="0" fontId="5" fillId="0" borderId="24" xfId="0" applyFont="1" applyBorder="1" applyAlignment="1">
      <alignment horizontal="justify" vertical="center" wrapText="1"/>
    </xf>
    <xf numFmtId="14" fontId="5" fillId="0" borderId="21" xfId="0" applyNumberFormat="1" applyFont="1" applyBorder="1" applyAlignment="1">
      <alignment horizontal="left" vertical="center" wrapText="1"/>
    </xf>
    <xf numFmtId="0" fontId="48" fillId="0" borderId="0" xfId="0" applyFont="1" applyAlignment="1">
      <alignment horizontal="justify" vertical="center" wrapText="1"/>
    </xf>
    <xf numFmtId="0" fontId="5" fillId="0" borderId="2" xfId="0" applyFont="1" applyBorder="1" applyAlignment="1">
      <alignment horizontal="distributed" vertical="center" wrapText="1" indent="1"/>
    </xf>
    <xf numFmtId="0" fontId="5" fillId="0" borderId="4" xfId="0" applyFont="1" applyBorder="1" applyAlignment="1">
      <alignment horizontal="distributed" vertical="center" wrapText="1" indent="1"/>
    </xf>
    <xf numFmtId="0" fontId="5" fillId="0" borderId="3" xfId="0" applyFont="1" applyBorder="1" applyAlignment="1">
      <alignment horizontal="justify" vertical="center" wrapText="1"/>
    </xf>
    <xf numFmtId="0" fontId="32" fillId="0" borderId="0" xfId="0" applyFont="1" applyAlignment="1">
      <alignment horizontal="distributed" vertical="center" indent="14"/>
    </xf>
    <xf numFmtId="0" fontId="5" fillId="0" borderId="20" xfId="0" applyFont="1" applyBorder="1" applyAlignment="1">
      <alignment horizontal="distributed" vertical="center" wrapText="1" indent="1"/>
    </xf>
    <xf numFmtId="0" fontId="5" fillId="0" borderId="10" xfId="0" applyFont="1" applyBorder="1" applyAlignment="1">
      <alignment horizontal="distributed" vertical="center" wrapText="1" indent="1"/>
    </xf>
    <xf numFmtId="0" fontId="13" fillId="0" borderId="98" xfId="0" applyFont="1" applyBorder="1" applyAlignment="1">
      <alignment horizontal="distributed" vertical="center" wrapText="1"/>
    </xf>
    <xf numFmtId="0" fontId="13" fillId="0" borderId="99" xfId="0" applyFont="1" applyBorder="1" applyAlignment="1">
      <alignment horizontal="distributed" vertical="center" wrapText="1"/>
    </xf>
    <xf numFmtId="0" fontId="31" fillId="0" borderId="98" xfId="0" applyFont="1" applyBorder="1" applyAlignment="1">
      <alignment horizontal="justify" vertical="center" wrapText="1"/>
    </xf>
    <xf numFmtId="0" fontId="31" fillId="0" borderId="99" xfId="0" applyFont="1" applyBorder="1" applyAlignment="1">
      <alignment horizontal="justify" vertical="center" wrapText="1"/>
    </xf>
    <xf numFmtId="0" fontId="35" fillId="0" borderId="20" xfId="0" applyFont="1" applyBorder="1" applyAlignment="1">
      <alignment horizontal="distributed" vertical="center" wrapText="1" indent="1"/>
    </xf>
    <xf numFmtId="0" fontId="35" fillId="0" borderId="10" xfId="0" applyFont="1" applyBorder="1" applyAlignment="1">
      <alignment horizontal="distributed" vertical="center" wrapText="1" indent="1"/>
    </xf>
    <xf numFmtId="0" fontId="35" fillId="0" borderId="0" xfId="0" applyFont="1" applyAlignment="1">
      <alignment horizontal="justify" vertical="center" wrapText="1"/>
    </xf>
    <xf numFmtId="0" fontId="39" fillId="0" borderId="0" xfId="0" applyFont="1" applyAlignment="1">
      <alignment horizontal="justify" vertical="center" wrapText="1"/>
    </xf>
    <xf numFmtId="0" fontId="50" fillId="0" borderId="0" xfId="0" applyFont="1" applyAlignment="1">
      <alignment horizontal="justify" vertical="center" wrapText="1"/>
    </xf>
    <xf numFmtId="0" fontId="35" fillId="0" borderId="2" xfId="0" applyFont="1" applyBorder="1" applyAlignment="1">
      <alignment horizontal="distributed" vertical="center" wrapText="1" indent="1"/>
    </xf>
    <xf numFmtId="0" fontId="35" fillId="0" borderId="4" xfId="0" applyFont="1" applyBorder="1" applyAlignment="1">
      <alignment horizontal="distributed" vertical="center" wrapText="1" indent="1"/>
    </xf>
    <xf numFmtId="0" fontId="35" fillId="0" borderId="3" xfId="0" applyFont="1" applyBorder="1" applyAlignment="1">
      <alignment horizontal="justify" vertical="center" wrapText="1"/>
    </xf>
    <xf numFmtId="0" fontId="36" fillId="0" borderId="10" xfId="0" applyFont="1" applyBorder="1" applyAlignment="1">
      <alignment horizontal="center" vertical="center" wrapText="1"/>
    </xf>
    <xf numFmtId="0" fontId="36" fillId="0" borderId="8" xfId="0" applyFont="1" applyBorder="1" applyAlignment="1">
      <alignment horizontal="center" vertical="center" wrapText="1"/>
    </xf>
    <xf numFmtId="0" fontId="40" fillId="0" borderId="0" xfId="0" applyFont="1" applyAlignment="1">
      <alignment horizontal="justify" vertical="center" wrapText="1"/>
    </xf>
    <xf numFmtId="0" fontId="35" fillId="0" borderId="11" xfId="0" applyFont="1" applyBorder="1" applyAlignment="1">
      <alignment horizontal="distributed" vertical="center" wrapText="1" indent="1"/>
    </xf>
    <xf numFmtId="0" fontId="35" fillId="0" borderId="19" xfId="0" applyFont="1" applyBorder="1" applyAlignment="1">
      <alignment horizontal="distributed" vertical="center" wrapText="1" indent="1"/>
    </xf>
    <xf numFmtId="0" fontId="35" fillId="0" borderId="7" xfId="0" applyFont="1" applyBorder="1" applyAlignment="1">
      <alignment horizontal="distributed" vertical="center" wrapText="1" indent="1"/>
    </xf>
    <xf numFmtId="0" fontId="35" fillId="0" borderId="8" xfId="0" applyFont="1" applyBorder="1" applyAlignment="1">
      <alignment horizontal="distributed" vertical="center" wrapText="1" indent="1"/>
    </xf>
    <xf numFmtId="0" fontId="35" fillId="0" borderId="9" xfId="0" applyFont="1" applyBorder="1" applyAlignment="1">
      <alignment horizontal="justify" vertical="center" wrapText="1"/>
    </xf>
    <xf numFmtId="0" fontId="35" fillId="0" borderId="6" xfId="0" applyFont="1" applyBorder="1" applyAlignment="1">
      <alignment horizontal="justify" vertical="center" wrapText="1"/>
    </xf>
    <xf numFmtId="0" fontId="35" fillId="0" borderId="62" xfId="0" applyFont="1" applyBorder="1" applyAlignment="1">
      <alignment horizontal="center" vertical="distributed" textRotation="255" wrapText="1" indent="4"/>
    </xf>
    <xf numFmtId="0" fontId="35" fillId="0" borderId="78" xfId="0" applyFont="1" applyBorder="1" applyAlignment="1">
      <alignment horizontal="center" vertical="distributed" textRotation="255" wrapText="1" indent="4"/>
    </xf>
    <xf numFmtId="0" fontId="35" fillId="0" borderId="5" xfId="0" applyFont="1" applyBorder="1" applyAlignment="1">
      <alignment horizontal="center" vertical="distributed" textRotation="255" wrapText="1" indent="4"/>
    </xf>
    <xf numFmtId="0" fontId="35" fillId="0" borderId="62"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11" xfId="0" applyFont="1" applyBorder="1" applyAlignment="1">
      <alignment horizontal="justify" vertical="center" wrapText="1"/>
    </xf>
    <xf numFmtId="0" fontId="35" fillId="0" borderId="19" xfId="0" applyFont="1" applyBorder="1" applyAlignment="1">
      <alignment horizontal="justify" vertical="center" wrapText="1"/>
    </xf>
    <xf numFmtId="0" fontId="35" fillId="0" borderId="20" xfId="0" applyFont="1" applyBorder="1" applyAlignment="1">
      <alignment horizontal="justify" vertical="center" wrapText="1"/>
    </xf>
    <xf numFmtId="0" fontId="35" fillId="0" borderId="10" xfId="0" applyFont="1" applyBorder="1" applyAlignment="1">
      <alignment horizontal="justify" vertical="center" wrapText="1"/>
    </xf>
    <xf numFmtId="0" fontId="35" fillId="0" borderId="11"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18" fillId="0" borderId="67" xfId="0" applyFont="1" applyBorder="1" applyAlignment="1">
      <alignment horizontal="center" vertical="center" wrapText="1"/>
    </xf>
    <xf numFmtId="0" fontId="18" fillId="0" borderId="68" xfId="0" applyFont="1" applyBorder="1" applyAlignment="1">
      <alignment horizontal="center" vertical="center" wrapText="1"/>
    </xf>
    <xf numFmtId="0" fontId="18" fillId="0" borderId="69" xfId="0" applyFont="1" applyBorder="1" applyAlignment="1">
      <alignment horizontal="center" vertical="center" wrapText="1"/>
    </xf>
    <xf numFmtId="0" fontId="15" fillId="0" borderId="0" xfId="0" applyFont="1" applyAlignment="1">
      <alignment horizontal="left"/>
    </xf>
    <xf numFmtId="0" fontId="16" fillId="0" borderId="0" xfId="0" applyFont="1" applyAlignment="1">
      <alignment horizontal="center" vertical="center" wrapText="1"/>
    </xf>
    <xf numFmtId="0" fontId="18" fillId="9" borderId="56" xfId="0" applyFont="1" applyFill="1" applyBorder="1" applyAlignment="1">
      <alignment horizontal="distributed" vertical="center" wrapText="1" indent="1"/>
    </xf>
    <xf numFmtId="0" fontId="18" fillId="9" borderId="57" xfId="0" applyFont="1" applyFill="1" applyBorder="1" applyAlignment="1">
      <alignment horizontal="distributed" vertical="center" wrapText="1" indent="1"/>
    </xf>
    <xf numFmtId="0" fontId="18" fillId="9" borderId="57" xfId="0" applyFont="1" applyFill="1" applyBorder="1" applyAlignment="1">
      <alignment horizontal="left" vertical="center" shrinkToFit="1"/>
    </xf>
    <xf numFmtId="0" fontId="18" fillId="9" borderId="58" xfId="0" applyFont="1" applyFill="1" applyBorder="1" applyAlignment="1">
      <alignment horizontal="distributed" vertical="center" wrapText="1" indent="1"/>
    </xf>
    <xf numFmtId="0" fontId="18" fillId="9" borderId="59" xfId="0" applyFont="1" applyFill="1" applyBorder="1" applyAlignment="1">
      <alignment horizontal="justify" vertical="center" wrapText="1"/>
    </xf>
    <xf numFmtId="0" fontId="18" fillId="9" borderId="15" xfId="0" applyFont="1" applyFill="1" applyBorder="1" applyAlignment="1">
      <alignment horizontal="justify" vertical="center" wrapText="1"/>
    </xf>
    <xf numFmtId="0" fontId="18" fillId="9" borderId="16" xfId="0" applyFont="1" applyFill="1" applyBorder="1" applyAlignment="1">
      <alignment horizontal="justify" vertical="center" wrapText="1"/>
    </xf>
    <xf numFmtId="0" fontId="18" fillId="9" borderId="60" xfId="0" applyFont="1" applyFill="1" applyBorder="1" applyAlignment="1">
      <alignment horizontal="distributed" vertical="center" wrapText="1" indent="1"/>
    </xf>
    <xf numFmtId="0" fontId="18" fillId="9" borderId="1" xfId="0" applyFont="1" applyFill="1" applyBorder="1" applyAlignment="1">
      <alignment horizontal="distributed" vertical="center" wrapText="1" indent="1"/>
    </xf>
    <xf numFmtId="0" fontId="18" fillId="9" borderId="1" xfId="0" applyFont="1" applyFill="1" applyBorder="1" applyAlignment="1">
      <alignment horizontal="center" vertical="center" wrapText="1"/>
    </xf>
    <xf numFmtId="0" fontId="18" fillId="9" borderId="5" xfId="0" applyFont="1" applyFill="1" applyBorder="1" applyAlignment="1">
      <alignment horizontal="distributed" vertical="center" wrapText="1" indent="1"/>
    </xf>
    <xf numFmtId="0" fontId="18" fillId="9" borderId="7" xfId="0" applyFont="1" applyFill="1" applyBorder="1" applyAlignment="1">
      <alignment horizontal="justify" vertical="center" wrapText="1"/>
    </xf>
    <xf numFmtId="0" fontId="18" fillId="9" borderId="6" xfId="0" applyFont="1" applyFill="1" applyBorder="1" applyAlignment="1">
      <alignment horizontal="justify" vertical="center" wrapText="1"/>
    </xf>
    <xf numFmtId="0" fontId="18" fillId="9" borderId="61" xfId="0" applyFont="1" applyFill="1" applyBorder="1" applyAlignment="1">
      <alignment horizontal="justify" vertical="center" wrapText="1"/>
    </xf>
    <xf numFmtId="0" fontId="18" fillId="0" borderId="8" xfId="0" applyFont="1" applyBorder="1" applyAlignment="1">
      <alignment horizontal="center" vertical="center" wrapText="1"/>
    </xf>
    <xf numFmtId="0" fontId="18" fillId="0" borderId="5" xfId="0" applyFont="1" applyBorder="1" applyAlignment="1">
      <alignment horizontal="center" vertical="center" wrapText="1"/>
    </xf>
    <xf numFmtId="0" fontId="20" fillId="10" borderId="57" xfId="0" applyFont="1" applyFill="1" applyBorder="1" applyAlignment="1">
      <alignment horizontal="center" wrapText="1"/>
    </xf>
    <xf numFmtId="0" fontId="20" fillId="10" borderId="71" xfId="0" applyFont="1" applyFill="1" applyBorder="1" applyAlignment="1">
      <alignment horizontal="center" wrapText="1"/>
    </xf>
    <xf numFmtId="0" fontId="20" fillId="10" borderId="69" xfId="0" applyFont="1" applyFill="1" applyBorder="1" applyAlignment="1">
      <alignment horizontal="center" wrapText="1"/>
    </xf>
    <xf numFmtId="0" fontId="18" fillId="9" borderId="11"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18" fillId="9" borderId="101" xfId="0" applyFont="1" applyFill="1" applyBorder="1" applyAlignment="1">
      <alignment horizontal="center" vertical="center" wrapText="1"/>
    </xf>
    <xf numFmtId="0" fontId="18" fillId="9" borderId="102" xfId="0" applyFont="1" applyFill="1" applyBorder="1" applyAlignment="1">
      <alignment horizontal="center" vertical="center" wrapText="1"/>
    </xf>
    <xf numFmtId="0" fontId="18" fillId="9" borderId="17" xfId="0" applyFont="1" applyFill="1" applyBorder="1" applyAlignment="1">
      <alignment horizontal="center" vertical="center" wrapText="1"/>
    </xf>
    <xf numFmtId="0" fontId="18" fillId="9" borderId="18" xfId="0" applyFont="1" applyFill="1" applyBorder="1" applyAlignment="1">
      <alignment horizontal="center" vertical="center" wrapText="1"/>
    </xf>
    <xf numFmtId="0" fontId="20" fillId="9" borderId="1" xfId="0" applyFont="1" applyFill="1" applyBorder="1" applyAlignment="1">
      <alignment horizontal="left" vertical="center" shrinkToFit="1"/>
    </xf>
    <xf numFmtId="0" fontId="20" fillId="9" borderId="2" xfId="0" applyFont="1" applyFill="1" applyBorder="1" applyAlignment="1">
      <alignment horizontal="left" vertical="center" shrinkToFit="1"/>
    </xf>
    <xf numFmtId="0" fontId="20" fillId="9" borderId="4" xfId="0" applyFont="1" applyFill="1" applyBorder="1" applyAlignment="1">
      <alignment horizontal="left" vertical="center" shrinkToFit="1"/>
    </xf>
    <xf numFmtId="0" fontId="20" fillId="9" borderId="2" xfId="0" applyFont="1" applyFill="1" applyBorder="1" applyAlignment="1">
      <alignment horizontal="center" vertical="center" wrapText="1"/>
    </xf>
    <xf numFmtId="0" fontId="20" fillId="9" borderId="4" xfId="0" applyFont="1" applyFill="1" applyBorder="1" applyAlignment="1">
      <alignment horizontal="center" vertical="center" wrapText="1"/>
    </xf>
    <xf numFmtId="0" fontId="18" fillId="9" borderId="62" xfId="0" applyFont="1" applyFill="1" applyBorder="1" applyAlignment="1">
      <alignment horizontal="distributed" vertical="center" wrapText="1" indent="1"/>
    </xf>
    <xf numFmtId="0" fontId="18" fillId="9" borderId="63" xfId="0" applyFont="1" applyFill="1" applyBorder="1" applyAlignment="1">
      <alignment horizontal="distributed" vertical="center" wrapText="1" indent="1"/>
    </xf>
    <xf numFmtId="0" fontId="18" fillId="9" borderId="64" xfId="0" applyFont="1" applyFill="1" applyBorder="1" applyAlignment="1">
      <alignment horizontal="distributed" vertical="center" wrapText="1" indent="1"/>
    </xf>
    <xf numFmtId="0" fontId="18" fillId="9" borderId="65" xfId="0" applyFont="1" applyFill="1" applyBorder="1" applyAlignment="1">
      <alignment horizontal="distributed" vertical="center" wrapText="1" indent="1"/>
    </xf>
    <xf numFmtId="0" fontId="18" fillId="9" borderId="65" xfId="0" applyFont="1" applyFill="1" applyBorder="1" applyAlignment="1">
      <alignment horizontal="left" vertical="center" wrapText="1"/>
    </xf>
    <xf numFmtId="0" fontId="18" fillId="9" borderId="66" xfId="0" applyFont="1" applyFill="1" applyBorder="1" applyAlignment="1">
      <alignment horizontal="left" vertical="center" wrapText="1"/>
    </xf>
    <xf numFmtId="0" fontId="20" fillId="9" borderId="65" xfId="0" applyFont="1" applyFill="1" applyBorder="1" applyAlignment="1">
      <alignment horizontal="left" vertical="center" shrinkToFit="1"/>
    </xf>
    <xf numFmtId="0" fontId="20" fillId="9" borderId="66" xfId="0" applyFont="1" applyFill="1" applyBorder="1" applyAlignment="1">
      <alignment horizontal="left" vertical="center" shrinkToFit="1"/>
    </xf>
    <xf numFmtId="0" fontId="20" fillId="9" borderId="74" xfId="0" applyFont="1" applyFill="1" applyBorder="1" applyAlignment="1">
      <alignment horizontal="left" vertical="center" shrinkToFit="1"/>
    </xf>
    <xf numFmtId="0" fontId="20" fillId="9" borderId="66" xfId="0" applyFont="1" applyFill="1" applyBorder="1" applyAlignment="1">
      <alignment horizontal="center" vertical="center" wrapText="1"/>
    </xf>
    <xf numFmtId="0" fontId="20" fillId="9" borderId="74" xfId="0" applyFont="1" applyFill="1" applyBorder="1" applyAlignment="1">
      <alignment horizontal="center" vertical="center" wrapText="1"/>
    </xf>
    <xf numFmtId="0" fontId="6" fillId="0" borderId="56" xfId="0" applyFont="1" applyBorder="1" applyAlignment="1">
      <alignment horizontal="center" vertical="distributed" textRotation="255" wrapText="1" indent="2"/>
    </xf>
    <xf numFmtId="0" fontId="6" fillId="0" borderId="60" xfId="0" applyFont="1" applyBorder="1" applyAlignment="1">
      <alignment horizontal="center" vertical="distributed" textRotation="255" wrapText="1" indent="2"/>
    </xf>
    <xf numFmtId="0" fontId="6" fillId="0" borderId="64" xfId="0" applyFont="1" applyBorder="1" applyAlignment="1">
      <alignment horizontal="center" vertical="distributed" textRotation="255" wrapText="1" indent="2"/>
    </xf>
    <xf numFmtId="0" fontId="8" fillId="0" borderId="57" xfId="0" applyFont="1" applyBorder="1" applyAlignment="1">
      <alignment horizontal="center" vertical="center" wrapText="1"/>
    </xf>
    <xf numFmtId="0" fontId="8" fillId="0" borderId="70" xfId="0" applyFont="1" applyBorder="1" applyAlignment="1">
      <alignment horizontal="center" vertical="center" wrapText="1"/>
    </xf>
    <xf numFmtId="0" fontId="20" fillId="0" borderId="1" xfId="0" applyFont="1" applyBorder="1" applyAlignment="1">
      <alignment horizontal="center" vertical="center" wrapText="1"/>
    </xf>
    <xf numFmtId="0" fontId="6" fillId="0" borderId="62" xfId="0" applyFont="1" applyBorder="1" applyAlignment="1">
      <alignment horizontal="left" vertical="top" wrapText="1"/>
    </xf>
    <xf numFmtId="0" fontId="8" fillId="0" borderId="62" xfId="0" applyFont="1" applyBorder="1" applyAlignment="1">
      <alignment horizontal="left" vertical="top" wrapText="1"/>
    </xf>
    <xf numFmtId="0" fontId="8" fillId="0" borderId="76" xfId="0" applyFont="1" applyBorder="1" applyAlignment="1">
      <alignment horizontal="left" vertical="top" wrapText="1"/>
    </xf>
    <xf numFmtId="0" fontId="8" fillId="0" borderId="3" xfId="0" applyFont="1" applyBorder="1" applyAlignment="1">
      <alignment horizontal="left" vertical="top" wrapText="1"/>
    </xf>
    <xf numFmtId="0" fontId="8" fillId="0" borderId="63" xfId="0" applyFont="1" applyBorder="1" applyAlignment="1">
      <alignment horizontal="left" vertical="top" wrapText="1"/>
    </xf>
    <xf numFmtId="0" fontId="8" fillId="0" borderId="80" xfId="0" applyFont="1" applyBorder="1" applyAlignment="1">
      <alignment horizontal="left" vertical="top" wrapText="1"/>
    </xf>
    <xf numFmtId="0" fontId="7" fillId="0" borderId="77" xfId="0" applyFont="1" applyBorder="1" applyAlignment="1">
      <alignment horizontal="right" wrapText="1"/>
    </xf>
    <xf numFmtId="0" fontId="7" fillId="0" borderId="81" xfId="0" applyFont="1" applyBorder="1" applyAlignment="1">
      <alignment horizontal="right" wrapText="1"/>
    </xf>
    <xf numFmtId="0" fontId="20" fillId="0" borderId="1" xfId="0" applyFont="1" applyBorder="1" applyAlignment="1">
      <alignment horizontal="justify" vertical="center" wrapText="1"/>
    </xf>
    <xf numFmtId="0" fontId="20" fillId="0" borderId="11" xfId="0" applyFont="1" applyBorder="1" applyAlignment="1">
      <alignment vertical="top" wrapText="1"/>
    </xf>
    <xf numFmtId="0" fontId="20" fillId="0" borderId="9" xfId="0" applyFont="1" applyBorder="1" applyAlignment="1">
      <alignment vertical="top" wrapText="1"/>
    </xf>
    <xf numFmtId="0" fontId="20" fillId="0" borderId="19" xfId="0" applyFont="1" applyBorder="1" applyAlignment="1">
      <alignment vertical="top" wrapText="1"/>
    </xf>
    <xf numFmtId="0" fontId="20" fillId="0" borderId="7" xfId="0" applyFont="1" applyBorder="1" applyAlignment="1">
      <alignment vertical="top" wrapText="1"/>
    </xf>
    <xf numFmtId="0" fontId="20" fillId="0" borderId="6" xfId="0" applyFont="1" applyBorder="1" applyAlignment="1">
      <alignment vertical="top" wrapText="1"/>
    </xf>
    <xf numFmtId="0" fontId="20" fillId="0" borderId="8" xfId="0" applyFont="1" applyBorder="1" applyAlignment="1">
      <alignment vertical="top" wrapText="1"/>
    </xf>
    <xf numFmtId="0" fontId="8" fillId="0" borderId="78" xfId="0" applyFont="1" applyBorder="1" applyAlignment="1">
      <alignment horizontal="left" vertical="top" wrapText="1"/>
    </xf>
    <xf numFmtId="0" fontId="8" fillId="0" borderId="79" xfId="0" applyFont="1" applyBorder="1" applyAlignment="1">
      <alignment horizontal="left" vertical="top" wrapText="1"/>
    </xf>
    <xf numFmtId="0" fontId="15" fillId="0" borderId="0" xfId="0" applyFont="1" applyAlignment="1">
      <alignment horizontal="justify" wrapText="1"/>
    </xf>
    <xf numFmtId="0" fontId="0" fillId="0" borderId="0" xfId="0" applyAlignment="1"/>
    <xf numFmtId="0" fontId="26" fillId="0" borderId="0" xfId="0" applyFont="1" applyAlignment="1">
      <alignment horizontal="justify" vertical="center" wrapText="1"/>
    </xf>
    <xf numFmtId="0" fontId="26" fillId="0" borderId="0" xfId="0" applyFont="1" applyAlignment="1">
      <alignment horizontal="left" vertical="top" wrapText="1"/>
    </xf>
    <xf numFmtId="0" fontId="26" fillId="0" borderId="0" xfId="0" applyFont="1" applyAlignment="1">
      <alignment horizontal="left" vertical="top" wrapText="1" indent="1"/>
    </xf>
    <xf numFmtId="0" fontId="21" fillId="0" borderId="12" xfId="0" applyFont="1" applyBorder="1" applyAlignment="1">
      <alignment horizontal="left" vertical="top" wrapText="1"/>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4" xfId="0" applyFont="1" applyBorder="1" applyAlignment="1">
      <alignment horizontal="left" vertical="top" wrapText="1"/>
    </xf>
    <xf numFmtId="0" fontId="24" fillId="0" borderId="1"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center" vertical="distributed" textRotation="255" wrapText="1" indent="2"/>
    </xf>
    <xf numFmtId="0" fontId="20" fillId="0" borderId="14" xfId="0" applyFont="1" applyBorder="1" applyAlignment="1">
      <alignment horizontal="left" vertical="center"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1" xfId="0" applyFont="1" applyBorder="1" applyAlignment="1">
      <alignment horizontal="center" vertical="top" wrapText="1"/>
    </xf>
    <xf numFmtId="0" fontId="20" fillId="0" borderId="11" xfId="0" applyFont="1" applyBorder="1" applyAlignment="1">
      <alignment horizontal="center" vertical="top" wrapText="1"/>
    </xf>
    <xf numFmtId="0" fontId="20" fillId="0" borderId="19" xfId="0" applyFont="1" applyBorder="1" applyAlignment="1">
      <alignment horizontal="center" vertical="top" wrapText="1"/>
    </xf>
    <xf numFmtId="0" fontId="20" fillId="0" borderId="20" xfId="0" applyFont="1" applyBorder="1" applyAlignment="1">
      <alignment horizontal="center" vertical="top" wrapText="1"/>
    </xf>
    <xf numFmtId="0" fontId="20" fillId="0" borderId="10"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0" xfId="0" applyFont="1" applyAlignment="1">
      <alignment horizontal="left" vertical="top" wrapText="1"/>
    </xf>
    <xf numFmtId="0" fontId="29" fillId="0" borderId="96" xfId="0" applyFont="1" applyBorder="1" applyAlignment="1">
      <alignment horizontal="distributed" vertical="center" wrapText="1" indent="2"/>
    </xf>
    <xf numFmtId="0" fontId="29" fillId="0" borderId="96" xfId="0" applyFont="1" applyBorder="1" applyAlignment="1">
      <alignment horizontal="left" vertical="center" shrinkToFit="1"/>
    </xf>
    <xf numFmtId="0" fontId="29" fillId="0" borderId="97" xfId="0" applyFont="1" applyBorder="1" applyAlignment="1">
      <alignment horizontal="left" vertical="center" shrinkToFit="1"/>
    </xf>
    <xf numFmtId="0" fontId="29" fillId="0" borderId="97" xfId="0" applyFont="1" applyBorder="1" applyAlignment="1">
      <alignment horizontal="distributed" vertical="center" wrapText="1" indent="2"/>
    </xf>
    <xf numFmtId="0" fontId="29" fillId="0" borderId="90" xfId="0" applyFont="1" applyBorder="1" applyAlignment="1">
      <alignment horizontal="justify" vertical="center" wrapText="1"/>
    </xf>
    <xf numFmtId="0" fontId="29" fillId="0" borderId="91" xfId="0" applyFont="1" applyBorder="1" applyAlignment="1">
      <alignment horizontal="justify" vertical="center" wrapText="1"/>
    </xf>
    <xf numFmtId="0" fontId="29" fillId="0" borderId="93" xfId="0" applyFont="1" applyBorder="1" applyAlignment="1">
      <alignment horizontal="justify" vertical="center" wrapText="1"/>
    </xf>
    <xf numFmtId="0" fontId="29" fillId="0" borderId="94" xfId="0" applyFont="1" applyBorder="1" applyAlignment="1">
      <alignment horizontal="justify" vertical="center" wrapText="1"/>
    </xf>
    <xf numFmtId="0" fontId="27" fillId="0" borderId="82" xfId="0" quotePrefix="1" applyFont="1" applyBorder="1" applyAlignment="1">
      <alignment horizontal="center" vertical="center" wrapText="1"/>
    </xf>
    <xf numFmtId="0" fontId="27" fillId="0" borderId="83" xfId="0" applyFont="1" applyBorder="1" applyAlignment="1">
      <alignment horizontal="center" vertical="center" wrapText="1"/>
    </xf>
    <xf numFmtId="0" fontId="27" fillId="0" borderId="84" xfId="0" applyFont="1" applyBorder="1" applyAlignment="1">
      <alignment horizontal="center" vertical="center" wrapText="1"/>
    </xf>
    <xf numFmtId="0" fontId="27" fillId="0" borderId="85" xfId="0" applyFont="1" applyBorder="1" applyAlignment="1">
      <alignment horizontal="center" vertical="center" wrapText="1"/>
    </xf>
    <xf numFmtId="0" fontId="27" fillId="0" borderId="0" xfId="0" applyFont="1" applyAlignment="1">
      <alignment horizontal="center" vertical="center" wrapText="1"/>
    </xf>
    <xf numFmtId="0" fontId="27" fillId="0" borderId="86" xfId="0" applyFont="1" applyBorder="1" applyAlignment="1">
      <alignment horizontal="center" vertical="center" wrapText="1"/>
    </xf>
    <xf numFmtId="0" fontId="27" fillId="0" borderId="87"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27" fillId="0" borderId="92" xfId="0" applyFont="1" applyBorder="1" applyAlignment="1">
      <alignment horizontal="center" vertical="center" wrapText="1"/>
    </xf>
    <xf numFmtId="0" fontId="30" fillId="0" borderId="0" xfId="0" applyFont="1" applyAlignment="1">
      <alignment horizontal="justify" vertical="center" wrapText="1"/>
    </xf>
  </cellXfs>
  <cellStyles count="2">
    <cellStyle name="桁区切り" xfId="1" builtinId="6"/>
    <cellStyle name="標準" xfId="0" builtinId="0"/>
  </cellStyles>
  <dxfs count="2">
    <dxf>
      <fill>
        <patternFill patternType="none">
          <bgColor auto="1"/>
        </patternFill>
      </fill>
    </dxf>
    <dxf>
      <fill>
        <patternFill patternType="none">
          <bgColor auto="1"/>
        </patternFill>
      </fill>
    </dxf>
  </dxfs>
  <tableStyles count="0" defaultTableStyle="TableStyleMedium2" defaultPivotStyle="PivotStyleLight16"/>
  <colors>
    <mruColors>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228599</xdr:colOff>
      <xdr:row>7</xdr:row>
      <xdr:rowOff>9525</xdr:rowOff>
    </xdr:from>
    <xdr:to>
      <xdr:col>3</xdr:col>
      <xdr:colOff>257175</xdr:colOff>
      <xdr:row>14</xdr:row>
      <xdr:rowOff>123825</xdr:rowOff>
    </xdr:to>
    <xdr:sp macro="" textlink="">
      <xdr:nvSpPr>
        <xdr:cNvPr id="2" name="Rectangle 799">
          <a:extLst>
            <a:ext uri="{FF2B5EF4-FFF2-40B4-BE49-F238E27FC236}">
              <a16:creationId xmlns:a16="http://schemas.microsoft.com/office/drawing/2014/main" id="{A39CBD97-2185-42DC-BE9C-6F7AD716F331}"/>
            </a:ext>
          </a:extLst>
        </xdr:cNvPr>
        <xdr:cNvSpPr>
          <a:spLocks noChangeArrowheads="1"/>
        </xdr:cNvSpPr>
      </xdr:nvSpPr>
      <xdr:spPr bwMode="auto">
        <a:xfrm>
          <a:off x="323849" y="1543050"/>
          <a:ext cx="1704976" cy="1257300"/>
        </a:xfrm>
        <a:prstGeom prst="rect">
          <a:avLst/>
        </a:prstGeom>
        <a:solidFill>
          <a:srgbClr val="FFFFFF"/>
        </a:solidFill>
        <a:ln w="9525">
          <a:solidFill>
            <a:srgbClr val="000000"/>
          </a:solidFill>
          <a:prstDash val="sysDot"/>
          <a:miter lim="800000"/>
          <a:headEnd/>
          <a:tailEnd/>
        </a:ln>
      </xdr:spPr>
      <xdr:txBody>
        <a:bodyPr vertOverflow="clip" wrap="square" lIns="12700" tIns="12700" rIns="12700" bIns="12700" anchor="t" upright="1"/>
        <a:lstStyle/>
        <a:p>
          <a:pPr algn="l" rtl="0">
            <a:defRPr sz="1000"/>
          </a:pPr>
          <a:r>
            <a:rPr lang="ja-JP" altLang="en-US" sz="1050" b="0" i="0" u="none" strike="noStrike" baseline="0">
              <a:solidFill>
                <a:srgbClr val="000000"/>
              </a:solidFill>
              <a:latin typeface="Century"/>
            </a:rPr>
            <a:t> </a:t>
          </a:r>
        </a:p>
        <a:p>
          <a:pPr algn="l" rtl="0">
            <a:defRPr sz="1000"/>
          </a:pPr>
          <a:r>
            <a:rPr lang="ja-JP" altLang="en-US" sz="1050" b="0" i="0" u="none" strike="noStrike" baseline="0">
              <a:solidFill>
                <a:srgbClr val="000000"/>
              </a:solidFill>
              <a:latin typeface="Century"/>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9526</xdr:colOff>
      <xdr:row>8</xdr:row>
      <xdr:rowOff>0</xdr:rowOff>
    </xdr:from>
    <xdr:to>
      <xdr:col>3</xdr:col>
      <xdr:colOff>314325</xdr:colOff>
      <xdr:row>14</xdr:row>
      <xdr:rowOff>114299</xdr:rowOff>
    </xdr:to>
    <xdr:sp macro="" textlink="">
      <xdr:nvSpPr>
        <xdr:cNvPr id="2" name="Rectangle 799">
          <a:extLst>
            <a:ext uri="{FF2B5EF4-FFF2-40B4-BE49-F238E27FC236}">
              <a16:creationId xmlns:a16="http://schemas.microsoft.com/office/drawing/2014/main" id="{0B175163-E63F-4291-AC90-15024915A648}"/>
            </a:ext>
          </a:extLst>
        </xdr:cNvPr>
        <xdr:cNvSpPr>
          <a:spLocks noChangeArrowheads="1"/>
        </xdr:cNvSpPr>
      </xdr:nvSpPr>
      <xdr:spPr bwMode="auto">
        <a:xfrm>
          <a:off x="390526" y="1495425"/>
          <a:ext cx="1647824" cy="1400174"/>
        </a:xfrm>
        <a:prstGeom prst="rect">
          <a:avLst/>
        </a:prstGeom>
        <a:solidFill>
          <a:srgbClr val="FFFFFF"/>
        </a:solidFill>
        <a:ln w="9525">
          <a:solidFill>
            <a:srgbClr val="000000"/>
          </a:solidFill>
          <a:prstDash val="sysDot"/>
          <a:miter lim="800000"/>
          <a:headEnd/>
          <a:tailEnd/>
        </a:ln>
      </xdr:spPr>
      <xdr:txBody>
        <a:bodyPr vertOverflow="clip" wrap="square" lIns="12700" tIns="12700" rIns="12700" bIns="12700" anchor="t" upright="1"/>
        <a:lstStyle/>
        <a:p>
          <a:pPr algn="l" rtl="0">
            <a:defRPr sz="1000"/>
          </a:pPr>
          <a:r>
            <a:rPr lang="ja-JP" altLang="en-US" sz="1050" b="0" i="0" u="none" strike="noStrike" baseline="0">
              <a:solidFill>
                <a:srgbClr val="000000"/>
              </a:solidFill>
              <a:latin typeface="Century"/>
            </a:rPr>
            <a:t> </a:t>
          </a:r>
        </a:p>
        <a:p>
          <a:pPr algn="l" rtl="0">
            <a:defRPr sz="1000"/>
          </a:pPr>
          <a:r>
            <a:rPr lang="ja-JP" altLang="en-US" sz="1050" b="0" i="0" u="none" strike="noStrike" baseline="0">
              <a:solidFill>
                <a:srgbClr val="000000"/>
              </a:solidFill>
              <a:latin typeface="Century"/>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99FF"/>
  </sheetPr>
  <dimension ref="A1:Q15"/>
  <sheetViews>
    <sheetView tabSelected="1" topLeftCell="D1" zoomScaleNormal="100" workbookViewId="0">
      <selection activeCell="H3" sqref="H3:K3"/>
    </sheetView>
  </sheetViews>
  <sheetFormatPr defaultRowHeight="18.75"/>
  <cols>
    <col min="1" max="2" width="9" hidden="1" customWidth="1"/>
    <col min="3" max="3" width="0" hidden="1" customWidth="1"/>
    <col min="4" max="4" width="9.125" bestFit="1" customWidth="1"/>
    <col min="12" max="12" width="56.75" bestFit="1" customWidth="1"/>
    <col min="13" max="13" width="27.5" bestFit="1" customWidth="1"/>
    <col min="20" max="20" width="9.5" bestFit="1" customWidth="1"/>
    <col min="24" max="24" width="16.5" bestFit="1" customWidth="1"/>
    <col min="25" max="25" width="15.125" bestFit="1" customWidth="1"/>
    <col min="26" max="26" width="18.625" bestFit="1" customWidth="1"/>
    <col min="27" max="27" width="15.125" bestFit="1" customWidth="1"/>
    <col min="28" max="28" width="18" bestFit="1" customWidth="1"/>
    <col min="29" max="29" width="15.125" bestFit="1" customWidth="1"/>
    <col min="30" max="30" width="27.25" bestFit="1" customWidth="1"/>
    <col min="31" max="31" width="15.125" bestFit="1" customWidth="1"/>
    <col min="32" max="32" width="21.75" bestFit="1" customWidth="1"/>
    <col min="33" max="33" width="15.125" bestFit="1" customWidth="1"/>
    <col min="35" max="35" width="9.5" bestFit="1" customWidth="1"/>
  </cols>
  <sheetData>
    <row r="1" spans="1:17">
      <c r="A1" t="s">
        <v>27</v>
      </c>
      <c r="C1" t="s">
        <v>26</v>
      </c>
      <c r="E1" s="203" t="s">
        <v>21</v>
      </c>
      <c r="H1" s="3" t="s">
        <v>22</v>
      </c>
      <c r="I1" t="s">
        <v>28</v>
      </c>
      <c r="L1" s="198" t="s">
        <v>241</v>
      </c>
      <c r="M1" s="198" t="s">
        <v>243</v>
      </c>
    </row>
    <row r="2" spans="1:17">
      <c r="C2">
        <f>COUNTIF(C3:C14,"&lt;&gt;1")</f>
        <v>11</v>
      </c>
      <c r="E2" t="s">
        <v>24</v>
      </c>
      <c r="H2" s="271" t="str">
        <f>IF($C$2&lt;&gt;0,"未入力などがあります","")</f>
        <v>未入力などがあります</v>
      </c>
      <c r="I2" s="271"/>
      <c r="J2" s="271"/>
      <c r="K2" s="271"/>
      <c r="L2" s="198"/>
    </row>
    <row r="3" spans="1:17">
      <c r="C3">
        <f>COUNTA(H3)</f>
        <v>0</v>
      </c>
      <c r="D3" s="248" t="s">
        <v>3</v>
      </c>
      <c r="E3" s="249"/>
      <c r="F3" s="249"/>
      <c r="G3" s="249"/>
      <c r="H3" s="277"/>
      <c r="I3" s="278"/>
      <c r="J3" s="278"/>
      <c r="K3" s="278"/>
      <c r="L3" s="199" t="s">
        <v>373</v>
      </c>
      <c r="M3" s="4" t="s">
        <v>242</v>
      </c>
    </row>
    <row r="4" spans="1:17">
      <c r="C4">
        <f>COUNTA(H4)</f>
        <v>0</v>
      </c>
      <c r="D4" s="246" t="s">
        <v>365</v>
      </c>
      <c r="E4" s="269" t="s">
        <v>368</v>
      </c>
      <c r="F4" s="270"/>
      <c r="G4" s="270"/>
      <c r="H4" s="279"/>
      <c r="I4" s="280"/>
      <c r="J4" s="280"/>
      <c r="K4" s="280"/>
      <c r="L4" s="252" t="s">
        <v>378</v>
      </c>
      <c r="M4" t="s">
        <v>371</v>
      </c>
    </row>
    <row r="5" spans="1:17">
      <c r="D5" s="247"/>
      <c r="E5" s="255" t="s">
        <v>369</v>
      </c>
      <c r="F5" s="256"/>
      <c r="G5" s="256"/>
      <c r="H5" s="272"/>
      <c r="I5" s="272"/>
      <c r="J5" s="272"/>
      <c r="K5" s="273"/>
      <c r="L5" s="253"/>
      <c r="M5" t="s">
        <v>362</v>
      </c>
    </row>
    <row r="6" spans="1:17">
      <c r="C6">
        <f>COUNTA(H6)</f>
        <v>0</v>
      </c>
      <c r="D6" s="247"/>
      <c r="E6" s="250" t="s">
        <v>370</v>
      </c>
      <c r="F6" s="251"/>
      <c r="G6" s="251"/>
      <c r="H6" s="261"/>
      <c r="I6" s="262"/>
      <c r="J6" s="262"/>
      <c r="K6" s="262"/>
      <c r="L6" s="253"/>
      <c r="M6" t="s">
        <v>29</v>
      </c>
    </row>
    <row r="7" spans="1:17">
      <c r="C7" t="e">
        <f>IF(AND(#REF!="有",COUNTA(H7)=1),1,IF(AND(#REF!="無",COUNTA(H7)=0),1,0))</f>
        <v>#REF!</v>
      </c>
      <c r="D7" s="247" t="s">
        <v>366</v>
      </c>
      <c r="E7" s="269" t="s">
        <v>368</v>
      </c>
      <c r="F7" s="270"/>
      <c r="G7" s="270"/>
      <c r="H7" s="275"/>
      <c r="I7" s="276"/>
      <c r="J7" s="276"/>
      <c r="K7" s="276"/>
      <c r="L7" s="254" t="s">
        <v>377</v>
      </c>
      <c r="M7" t="s">
        <v>375</v>
      </c>
    </row>
    <row r="8" spans="1:17">
      <c r="D8" s="247"/>
      <c r="E8" s="255" t="s">
        <v>369</v>
      </c>
      <c r="F8" s="256"/>
      <c r="G8" s="256"/>
      <c r="H8" s="272"/>
      <c r="I8" s="272"/>
      <c r="J8" s="272"/>
      <c r="K8" s="273"/>
      <c r="L8" s="254"/>
      <c r="M8" t="s">
        <v>376</v>
      </c>
    </row>
    <row r="9" spans="1:17">
      <c r="C9" t="e">
        <f>IF(AND(#REF!="有",COUNTA(H9)=1),1,IF(AND(#REF!="無",COUNTA(H9)=0),1,0))</f>
        <v>#REF!</v>
      </c>
      <c r="D9" s="247"/>
      <c r="E9" s="255" t="s">
        <v>370</v>
      </c>
      <c r="F9" s="256"/>
      <c r="G9" s="256"/>
      <c r="H9" s="273"/>
      <c r="I9" s="274"/>
      <c r="J9" s="274"/>
      <c r="K9" s="274"/>
      <c r="L9" s="254"/>
      <c r="M9" t="s">
        <v>372</v>
      </c>
    </row>
    <row r="10" spans="1:17">
      <c r="D10" s="247"/>
      <c r="E10" s="257" t="s">
        <v>143</v>
      </c>
      <c r="F10" s="258"/>
      <c r="G10" s="258"/>
      <c r="H10" s="265"/>
      <c r="I10" s="265"/>
      <c r="J10" s="265"/>
      <c r="K10" s="266"/>
      <c r="L10" s="254"/>
      <c r="M10" t="s">
        <v>145</v>
      </c>
    </row>
    <row r="11" spans="1:17">
      <c r="C11">
        <f>COUNTA(H11)</f>
        <v>0</v>
      </c>
      <c r="D11" s="247" t="s">
        <v>367</v>
      </c>
      <c r="E11" s="259" t="s">
        <v>368</v>
      </c>
      <c r="F11" s="260"/>
      <c r="G11" s="260"/>
      <c r="H11" s="275"/>
      <c r="I11" s="276"/>
      <c r="J11" s="276"/>
      <c r="K11" s="276"/>
      <c r="L11" s="252" t="s">
        <v>379</v>
      </c>
      <c r="M11" t="s">
        <v>374</v>
      </c>
    </row>
    <row r="12" spans="1:17">
      <c r="D12" s="247"/>
      <c r="E12" s="255" t="s">
        <v>369</v>
      </c>
      <c r="F12" s="256"/>
      <c r="G12" s="256"/>
      <c r="H12" s="267"/>
      <c r="I12" s="267"/>
      <c r="J12" s="267"/>
      <c r="K12" s="268"/>
      <c r="L12" s="254"/>
      <c r="M12" t="s">
        <v>326</v>
      </c>
    </row>
    <row r="13" spans="1:17">
      <c r="C13">
        <f>COUNTA(H13)</f>
        <v>0</v>
      </c>
      <c r="D13" s="247"/>
      <c r="E13" s="250" t="s">
        <v>4</v>
      </c>
      <c r="F13" s="251"/>
      <c r="G13" s="251"/>
      <c r="H13" s="261"/>
      <c r="I13" s="262"/>
      <c r="J13" s="262"/>
      <c r="K13" s="262"/>
      <c r="L13" s="254"/>
      <c r="M13" t="s">
        <v>23</v>
      </c>
    </row>
    <row r="14" spans="1:17">
      <c r="C14">
        <v>1</v>
      </c>
      <c r="D14" s="248" t="s">
        <v>139</v>
      </c>
      <c r="E14" s="249"/>
      <c r="F14" s="249"/>
      <c r="G14" s="249"/>
      <c r="H14" s="263"/>
      <c r="I14" s="264"/>
      <c r="J14" s="264"/>
      <c r="K14" s="264"/>
      <c r="L14" s="199" t="s">
        <v>391</v>
      </c>
      <c r="M14" t="s">
        <v>144</v>
      </c>
      <c r="N14" s="2"/>
      <c r="O14" s="2"/>
      <c r="P14" s="2"/>
      <c r="Q14" s="2"/>
    </row>
    <row r="15" spans="1:17">
      <c r="D15" t="s">
        <v>414</v>
      </c>
    </row>
  </sheetData>
  <sheetProtection algorithmName="SHA-512" hashValue="3UIoBfF1GsqKnU/xMhFoCcNwLxw9WP/nz1rq9c+G7cUFYDKxANVXqCmPoM6dFtNnvGGPH0uglIzNDyXoBa9RhQ==" saltValue="+MOcICDLareqioTKJ0J3lw==" spinCount="100000" sheet="1" selectLockedCells="1"/>
  <mergeCells count="31">
    <mergeCell ref="H2:K2"/>
    <mergeCell ref="H8:K8"/>
    <mergeCell ref="H9:K9"/>
    <mergeCell ref="H11:K11"/>
    <mergeCell ref="H3:K3"/>
    <mergeCell ref="H4:K4"/>
    <mergeCell ref="H6:K6"/>
    <mergeCell ref="H7:K7"/>
    <mergeCell ref="H5:K5"/>
    <mergeCell ref="H14:K14"/>
    <mergeCell ref="H10:K10"/>
    <mergeCell ref="H12:K12"/>
    <mergeCell ref="E4:G4"/>
    <mergeCell ref="E5:G5"/>
    <mergeCell ref="E6:G6"/>
    <mergeCell ref="E7:G7"/>
    <mergeCell ref="L4:L6"/>
    <mergeCell ref="L7:L10"/>
    <mergeCell ref="L11:L13"/>
    <mergeCell ref="E8:G8"/>
    <mergeCell ref="E9:G9"/>
    <mergeCell ref="E10:G10"/>
    <mergeCell ref="E11:G11"/>
    <mergeCell ref="E12:G12"/>
    <mergeCell ref="H13:K13"/>
    <mergeCell ref="D4:D6"/>
    <mergeCell ref="D7:D10"/>
    <mergeCell ref="D11:D13"/>
    <mergeCell ref="D3:G3"/>
    <mergeCell ref="D14:G14"/>
    <mergeCell ref="E13:G13"/>
  </mergeCells>
  <phoneticPr fontId="1"/>
  <conditionalFormatting sqref="H7:K7 H8 H9:K9 H10">
    <cfRule type="expression" dxfId="1" priority="6">
      <formula>#REF!="無"</formula>
    </cfRule>
  </conditionalFormatting>
  <conditionalFormatting sqref="H11:K11">
    <cfRule type="expression" dxfId="0" priority="1">
      <formula>#REF!="無"</formula>
    </cfRule>
  </conditionalFormatting>
  <dataValidations count="3">
    <dataValidation type="date" operator="greaterThanOrEqual" allowBlank="1" showInputMessage="1" showErrorMessage="1" sqref="H3:K3" xr:uid="{00000000-0002-0000-0000-000000000000}">
      <formula1>1</formula1>
    </dataValidation>
    <dataValidation type="list" allowBlank="1" showInputMessage="1" showErrorMessage="1" sqref="H14:K14" xr:uid="{00000000-0002-0000-0000-000001000000}">
      <formula1>"減免対象外,減免対象"</formula1>
    </dataValidation>
    <dataValidation type="list" allowBlank="1" showInputMessage="1" showErrorMessage="1" sqref="H10:K10" xr:uid="{00000000-0002-0000-0000-000002000000}">
      <formula1>"有,無"</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O86"/>
  <sheetViews>
    <sheetView showGridLines="0" view="pageBreakPreview" zoomScale="115" zoomScaleNormal="100" zoomScaleSheetLayoutView="115" workbookViewId="0">
      <selection activeCell="P77" sqref="A77:XFD77"/>
    </sheetView>
  </sheetViews>
  <sheetFormatPr defaultRowHeight="18.75"/>
  <cols>
    <col min="1" max="1" width="3.625" customWidth="1"/>
    <col min="2" max="3" width="5.625" customWidth="1"/>
    <col min="4" max="4" width="10.625" customWidth="1"/>
    <col min="5" max="5" width="3.625" customWidth="1"/>
    <col min="6" max="7" width="6.625" customWidth="1"/>
    <col min="8" max="8" width="3.625" customWidth="1"/>
    <col min="9" max="12" width="5.625" customWidth="1"/>
    <col min="13" max="13" width="3.625" customWidth="1"/>
    <col min="14" max="15" width="6.625" customWidth="1"/>
  </cols>
  <sheetData>
    <row r="1" spans="1:15" ht="35.1" customHeight="1">
      <c r="A1" s="412" t="s">
        <v>150</v>
      </c>
      <c r="B1" s="412"/>
    </row>
    <row r="2" spans="1:15" ht="22.5" customHeight="1">
      <c r="A2" s="413" t="s">
        <v>151</v>
      </c>
      <c r="B2" s="413"/>
      <c r="C2" s="323"/>
      <c r="D2" s="323"/>
      <c r="E2" s="323"/>
      <c r="F2" s="323"/>
      <c r="G2" s="323"/>
      <c r="H2" s="323"/>
      <c r="I2" s="323"/>
      <c r="J2" s="323"/>
      <c r="K2" s="323"/>
      <c r="L2" s="323"/>
      <c r="M2" s="323"/>
      <c r="N2" s="323"/>
      <c r="O2" s="323"/>
    </row>
    <row r="3" spans="1:15" ht="19.5" thickBot="1">
      <c r="A3" s="115" t="s">
        <v>152</v>
      </c>
      <c r="B3" s="115"/>
    </row>
    <row r="4" spans="1:15" ht="18.95" customHeight="1">
      <c r="A4" s="414" t="s">
        <v>153</v>
      </c>
      <c r="B4" s="415"/>
      <c r="C4" s="415"/>
      <c r="D4" s="416" t="str">
        <f>IF(AND(申請者情報入力シート!H7="",申請者情報入力シート!H8=""),申請者情報入力シート!H4&amp;IF(申請者情報入力シート!H5="","","　 "&amp;申請者情報入力シート!H5),申請者情報入力シート!H7&amp;IF(申請者情報入力シート!H8="","","　"&amp;申請者情報入力シート!H8))</f>
        <v/>
      </c>
      <c r="E4" s="416"/>
      <c r="F4" s="416"/>
      <c r="G4" s="416"/>
      <c r="H4" s="417" t="s">
        <v>154</v>
      </c>
      <c r="I4" s="417"/>
      <c r="J4" s="417"/>
      <c r="K4" s="418" t="s">
        <v>155</v>
      </c>
      <c r="L4" s="419"/>
      <c r="M4" s="419"/>
      <c r="N4" s="419"/>
      <c r="O4" s="420"/>
    </row>
    <row r="5" spans="1:15" ht="18.95" customHeight="1">
      <c r="A5" s="421" t="s">
        <v>156</v>
      </c>
      <c r="B5" s="422"/>
      <c r="C5" s="422"/>
      <c r="D5" s="423" t="str">
        <f>集計シート!B1</f>
        <v>M2</v>
      </c>
      <c r="E5" s="423"/>
      <c r="F5" s="423"/>
      <c r="G5" s="423"/>
      <c r="H5" s="424" t="s">
        <v>157</v>
      </c>
      <c r="I5" s="424"/>
      <c r="J5" s="424"/>
      <c r="K5" s="425" t="s">
        <v>158</v>
      </c>
      <c r="L5" s="426"/>
      <c r="M5" s="426"/>
      <c r="N5" s="426"/>
      <c r="O5" s="427"/>
    </row>
    <row r="6" spans="1:15" ht="18.95" customHeight="1">
      <c r="A6" s="421" t="s">
        <v>41</v>
      </c>
      <c r="B6" s="422"/>
      <c r="C6" s="422"/>
      <c r="D6" s="423">
        <f>分銅情報入力シート!E3</f>
        <v>0</v>
      </c>
      <c r="E6" s="423"/>
      <c r="F6" s="423"/>
      <c r="G6" s="423"/>
      <c r="H6" s="444" t="s">
        <v>159</v>
      </c>
      <c r="I6" s="444"/>
      <c r="J6" s="444"/>
      <c r="K6" s="433" t="str">
        <f>分銅情報入力シート!L3&amp;"部"</f>
        <v>部</v>
      </c>
      <c r="L6" s="434"/>
      <c r="M6" s="434"/>
      <c r="N6" s="434"/>
      <c r="O6" s="435"/>
    </row>
    <row r="7" spans="1:15" ht="18.95" customHeight="1" thickBot="1">
      <c r="A7" s="421" t="s">
        <v>160</v>
      </c>
      <c r="B7" s="422"/>
      <c r="C7" s="422"/>
      <c r="D7" s="423" t="str">
        <f>集計シート!C63&amp;IF(集計シート!B63=集計シート!C63,"","　～　"&amp;集計シート!B63)</f>
        <v>0mg</v>
      </c>
      <c r="E7" s="423"/>
      <c r="F7" s="423"/>
      <c r="G7" s="423"/>
      <c r="H7" s="445" t="s">
        <v>161</v>
      </c>
      <c r="I7" s="445"/>
      <c r="J7" s="445"/>
      <c r="K7" s="436"/>
      <c r="L7" s="437"/>
      <c r="M7" s="437"/>
      <c r="N7" s="437"/>
      <c r="O7" s="438"/>
    </row>
    <row r="8" spans="1:15" ht="18.95" customHeight="1" thickBot="1">
      <c r="A8" s="446" t="s">
        <v>162</v>
      </c>
      <c r="B8" s="447"/>
      <c r="C8" s="447"/>
      <c r="D8" s="448">
        <f>分銅情報入力シート!L6</f>
        <v>0</v>
      </c>
      <c r="E8" s="448"/>
      <c r="F8" s="448"/>
      <c r="G8" s="449"/>
      <c r="H8" s="409" t="s">
        <v>163</v>
      </c>
      <c r="I8" s="410"/>
      <c r="J8" s="411"/>
      <c r="K8" s="116"/>
      <c r="L8" s="428"/>
      <c r="M8" s="429"/>
      <c r="N8" s="429"/>
      <c r="O8" s="429"/>
    </row>
    <row r="9" spans="1:15" ht="15" customHeight="1">
      <c r="A9" s="117"/>
      <c r="B9" s="117"/>
    </row>
    <row r="10" spans="1:15" ht="19.5" thickBot="1">
      <c r="A10" s="115" t="s">
        <v>164</v>
      </c>
      <c r="B10" s="115"/>
    </row>
    <row r="11" spans="1:15" ht="17.100000000000001" customHeight="1">
      <c r="A11" s="118" t="s">
        <v>165</v>
      </c>
      <c r="B11" s="430" t="s">
        <v>166</v>
      </c>
      <c r="C11" s="430"/>
      <c r="D11" s="119" t="s">
        <v>167</v>
      </c>
      <c r="E11" s="120" t="s">
        <v>168</v>
      </c>
      <c r="F11" s="121" t="s">
        <v>169</v>
      </c>
      <c r="G11" s="122" t="s">
        <v>170</v>
      </c>
      <c r="H11" s="118" t="s">
        <v>165</v>
      </c>
      <c r="I11" s="431" t="s">
        <v>166</v>
      </c>
      <c r="J11" s="432"/>
      <c r="K11" s="431" t="s">
        <v>167</v>
      </c>
      <c r="L11" s="432"/>
      <c r="M11" s="120" t="s">
        <v>168</v>
      </c>
      <c r="N11" s="121" t="s">
        <v>169</v>
      </c>
      <c r="O11" s="123" t="s">
        <v>170</v>
      </c>
    </row>
    <row r="12" spans="1:15" ht="15.6" customHeight="1">
      <c r="A12" s="184">
        <v>51</v>
      </c>
      <c r="B12" s="439" t="str">
        <f>IF(集計シート!AH53="〇",集計シート!AC53&amp;"　"&amp;集計シート!AE53,"")</f>
        <v/>
      </c>
      <c r="C12" s="439"/>
      <c r="D12" s="185" t="str">
        <f>IF(集計シート!AH53="〇",集計シート!AA53&amp;集計シート!AB53,"")</f>
        <v/>
      </c>
      <c r="E12" s="186" t="str">
        <f>IF(集計シート!AH53="〇",IF(集計シート!AD53="","",集計シート!AD53),"")</f>
        <v/>
      </c>
      <c r="F12" s="124"/>
      <c r="G12" s="125"/>
      <c r="H12" s="184">
        <v>76</v>
      </c>
      <c r="I12" s="440" t="str">
        <f>IF(集計シート!AH78="〇",集計シート!AC78&amp;"　"&amp;集計シート!AE78,"")</f>
        <v/>
      </c>
      <c r="J12" s="441"/>
      <c r="K12" s="442" t="str">
        <f>IF(集計シート!AH78="〇",集計シート!AA78&amp;集計シート!AB78,"")</f>
        <v/>
      </c>
      <c r="L12" s="443"/>
      <c r="M12" s="186" t="str">
        <f>IF(集計シート!AH78="〇",IF(集計シート!AD78="","",集計シート!AD78),"")</f>
        <v/>
      </c>
      <c r="N12" s="124"/>
      <c r="O12" s="126"/>
    </row>
    <row r="13" spans="1:15" ht="15.6" customHeight="1">
      <c r="A13" s="184">
        <v>52</v>
      </c>
      <c r="B13" s="439" t="str">
        <f>IF(集計シート!AH54="〇",集計シート!AC54&amp;"　"&amp;集計シート!AE54,"")</f>
        <v/>
      </c>
      <c r="C13" s="439"/>
      <c r="D13" s="185" t="str">
        <f>IF(集計シート!AH54="〇",集計シート!AA54&amp;集計シート!AB54,"")</f>
        <v/>
      </c>
      <c r="E13" s="186" t="str">
        <f>IF(集計シート!AH54="〇",IF(集計シート!AD54="","",集計シート!AD54),"")</f>
        <v/>
      </c>
      <c r="F13" s="124"/>
      <c r="G13" s="125"/>
      <c r="H13" s="184">
        <v>77</v>
      </c>
      <c r="I13" s="440" t="str">
        <f>IF(集計シート!AH79="〇",集計シート!AC79&amp;"　"&amp;集計シート!AE79,"")</f>
        <v/>
      </c>
      <c r="J13" s="441"/>
      <c r="K13" s="442" t="str">
        <f>IF(集計シート!AH79="〇",集計シート!AA79&amp;集計シート!AB79,"")</f>
        <v/>
      </c>
      <c r="L13" s="443"/>
      <c r="M13" s="186" t="str">
        <f>IF(集計シート!AH79="〇",IF(集計シート!AD79="","",集計シート!AD79),"")</f>
        <v/>
      </c>
      <c r="N13" s="124"/>
      <c r="O13" s="126"/>
    </row>
    <row r="14" spans="1:15" ht="15.6" customHeight="1">
      <c r="A14" s="184">
        <v>53</v>
      </c>
      <c r="B14" s="439" t="str">
        <f>IF(集計シート!AH55="〇",集計シート!AC55&amp;"　"&amp;集計シート!AE55,"")</f>
        <v/>
      </c>
      <c r="C14" s="439"/>
      <c r="D14" s="185" t="str">
        <f>IF(集計シート!AH55="〇",集計シート!AA55&amp;集計シート!AB55,"")</f>
        <v/>
      </c>
      <c r="E14" s="186" t="str">
        <f>IF(集計シート!AH55="〇",IF(集計シート!AD55="","",集計シート!AD55),"")</f>
        <v/>
      </c>
      <c r="F14" s="124"/>
      <c r="G14" s="125"/>
      <c r="H14" s="184">
        <v>78</v>
      </c>
      <c r="I14" s="440" t="str">
        <f>IF(集計シート!AH80="〇",集計シート!AC80&amp;"　"&amp;集計シート!AE80,"")</f>
        <v/>
      </c>
      <c r="J14" s="441"/>
      <c r="K14" s="442" t="str">
        <f>IF(集計シート!AH80="〇",集計シート!AA80&amp;集計シート!AB80,"")</f>
        <v/>
      </c>
      <c r="L14" s="443"/>
      <c r="M14" s="186" t="str">
        <f>IF(集計シート!AH80="〇",IF(集計シート!AD80="","",集計シート!AD80),"")</f>
        <v/>
      </c>
      <c r="N14" s="124"/>
      <c r="O14" s="126"/>
    </row>
    <row r="15" spans="1:15" ht="15.6" customHeight="1">
      <c r="A15" s="184">
        <v>54</v>
      </c>
      <c r="B15" s="439" t="str">
        <f>IF(集計シート!AH56="〇",集計シート!AC56&amp;"　"&amp;集計シート!AE56,"")</f>
        <v/>
      </c>
      <c r="C15" s="439"/>
      <c r="D15" s="185" t="str">
        <f>IF(集計シート!AH56="〇",集計シート!AA56&amp;集計シート!AB56,"")</f>
        <v/>
      </c>
      <c r="E15" s="186" t="str">
        <f>IF(集計シート!AH56="〇",IF(集計シート!AD56="","",集計シート!AD56),"")</f>
        <v/>
      </c>
      <c r="F15" s="124"/>
      <c r="G15" s="125"/>
      <c r="H15" s="184">
        <v>79</v>
      </c>
      <c r="I15" s="440" t="str">
        <f>IF(集計シート!AH81="〇",集計シート!AC81&amp;"　"&amp;集計シート!AE81,"")</f>
        <v/>
      </c>
      <c r="J15" s="441"/>
      <c r="K15" s="442" t="str">
        <f>IF(集計シート!AH81="〇",集計シート!AA81&amp;集計シート!AB81,"")</f>
        <v/>
      </c>
      <c r="L15" s="443"/>
      <c r="M15" s="186" t="str">
        <f>IF(集計シート!AH81="〇",IF(集計シート!AD81="","",集計シート!AD81),"")</f>
        <v/>
      </c>
      <c r="N15" s="124"/>
      <c r="O15" s="126"/>
    </row>
    <row r="16" spans="1:15" ht="15.6" customHeight="1">
      <c r="A16" s="184">
        <v>55</v>
      </c>
      <c r="B16" s="439" t="str">
        <f>IF(集計シート!AH57="〇",集計シート!AC57&amp;"　"&amp;集計シート!AE57,"")</f>
        <v/>
      </c>
      <c r="C16" s="439"/>
      <c r="D16" s="185" t="str">
        <f>IF(集計シート!AH57="〇",集計シート!AA57&amp;集計シート!AB57,"")</f>
        <v/>
      </c>
      <c r="E16" s="186" t="str">
        <f>IF(集計シート!AH57="〇",IF(集計シート!AD57="","",集計シート!AD57),"")</f>
        <v/>
      </c>
      <c r="F16" s="124"/>
      <c r="G16" s="125"/>
      <c r="H16" s="184">
        <v>80</v>
      </c>
      <c r="I16" s="440" t="str">
        <f>IF(集計シート!AH82="〇",集計シート!AC82&amp;"　"&amp;集計シート!AE82,"")</f>
        <v/>
      </c>
      <c r="J16" s="441"/>
      <c r="K16" s="442" t="str">
        <f>IF(集計シート!AH82="〇",集計シート!AA82&amp;集計シート!AB82,"")</f>
        <v/>
      </c>
      <c r="L16" s="443"/>
      <c r="M16" s="186" t="str">
        <f>IF(集計シート!AH82="〇",IF(集計シート!AD82="","",集計シート!AD82),"")</f>
        <v/>
      </c>
      <c r="N16" s="124"/>
      <c r="O16" s="126"/>
    </row>
    <row r="17" spans="1:15" ht="15.6" customHeight="1">
      <c r="A17" s="184">
        <v>56</v>
      </c>
      <c r="B17" s="439" t="str">
        <f>IF(集計シート!AH58="〇",集計シート!AC58&amp;"　"&amp;集計シート!AE58,"")</f>
        <v/>
      </c>
      <c r="C17" s="439"/>
      <c r="D17" s="185" t="str">
        <f>IF(集計シート!AH58="〇",集計シート!AA58&amp;集計シート!AB58,"")</f>
        <v/>
      </c>
      <c r="E17" s="186" t="str">
        <f>IF(集計シート!AH58="〇",IF(集計シート!AD58="","",集計シート!AD58),"")</f>
        <v/>
      </c>
      <c r="F17" s="124"/>
      <c r="G17" s="125"/>
      <c r="H17" s="184">
        <v>81</v>
      </c>
      <c r="I17" s="440" t="str">
        <f>IF(集計シート!AH83="〇",集計シート!AC83&amp;"　"&amp;集計シート!AE83,"")</f>
        <v/>
      </c>
      <c r="J17" s="441"/>
      <c r="K17" s="442" t="str">
        <f>IF(集計シート!AH83="〇",集計シート!AA83&amp;集計シート!AB83,"")</f>
        <v/>
      </c>
      <c r="L17" s="443"/>
      <c r="M17" s="186" t="str">
        <f>IF(集計シート!AH83="〇",IF(集計シート!AD83="","",集計シート!AD83),"")</f>
        <v/>
      </c>
      <c r="N17" s="124"/>
      <c r="O17" s="126"/>
    </row>
    <row r="18" spans="1:15" ht="15.6" customHeight="1">
      <c r="A18" s="184">
        <v>57</v>
      </c>
      <c r="B18" s="439" t="str">
        <f>IF(集計シート!AH59="〇",集計シート!AC59&amp;"　"&amp;集計シート!AE59,"")</f>
        <v/>
      </c>
      <c r="C18" s="439"/>
      <c r="D18" s="185" t="str">
        <f>IF(集計シート!AH59="〇",集計シート!AA59&amp;集計シート!AB59,"")</f>
        <v/>
      </c>
      <c r="E18" s="186" t="str">
        <f>IF(集計シート!AH59="〇",IF(集計シート!AD59="","",集計シート!AD59),"")</f>
        <v/>
      </c>
      <c r="F18" s="124"/>
      <c r="G18" s="125"/>
      <c r="H18" s="184">
        <v>82</v>
      </c>
      <c r="I18" s="440" t="str">
        <f>IF(集計シート!AH84="〇",集計シート!AC84&amp;"　"&amp;集計シート!AE84,"")</f>
        <v/>
      </c>
      <c r="J18" s="441"/>
      <c r="K18" s="442" t="str">
        <f>IF(集計シート!AH84="〇",集計シート!AA84&amp;集計シート!AB84,"")</f>
        <v/>
      </c>
      <c r="L18" s="443"/>
      <c r="M18" s="186" t="str">
        <f>IF(集計シート!AH84="〇",IF(集計シート!AD84="","",集計シート!AD84),"")</f>
        <v/>
      </c>
      <c r="N18" s="124"/>
      <c r="O18" s="126"/>
    </row>
    <row r="19" spans="1:15" ht="15.6" customHeight="1">
      <c r="A19" s="184">
        <v>58</v>
      </c>
      <c r="B19" s="439" t="str">
        <f>IF(集計シート!AH60="〇",集計シート!AC60&amp;"　"&amp;集計シート!AE60,"")</f>
        <v/>
      </c>
      <c r="C19" s="439"/>
      <c r="D19" s="185" t="str">
        <f>IF(集計シート!AH60="〇",集計シート!AA60&amp;集計シート!AB60,"")</f>
        <v/>
      </c>
      <c r="E19" s="186" t="str">
        <f>IF(集計シート!AH60="〇",IF(集計シート!AD60="","",集計シート!AD60),"")</f>
        <v/>
      </c>
      <c r="F19" s="124"/>
      <c r="G19" s="125"/>
      <c r="H19" s="184">
        <v>83</v>
      </c>
      <c r="I19" s="440" t="str">
        <f>IF(集計シート!AH85="〇",集計シート!AC85&amp;"　"&amp;集計シート!AE85,"")</f>
        <v/>
      </c>
      <c r="J19" s="441"/>
      <c r="K19" s="442" t="str">
        <f>IF(集計シート!AH85="〇",集計シート!AA85&amp;集計シート!AB85,"")</f>
        <v/>
      </c>
      <c r="L19" s="443"/>
      <c r="M19" s="186" t="str">
        <f>IF(集計シート!AH85="〇",IF(集計シート!AD85="","",集計シート!AD85),"")</f>
        <v/>
      </c>
      <c r="N19" s="124"/>
      <c r="O19" s="126"/>
    </row>
    <row r="20" spans="1:15" ht="15.6" customHeight="1">
      <c r="A20" s="184">
        <v>59</v>
      </c>
      <c r="B20" s="439" t="str">
        <f>IF(集計シート!AH61="〇",集計シート!AC61&amp;"　"&amp;集計シート!AE61,"")</f>
        <v/>
      </c>
      <c r="C20" s="439"/>
      <c r="D20" s="185" t="str">
        <f>IF(集計シート!AH61="〇",集計シート!AA61&amp;集計シート!AB61,"")</f>
        <v/>
      </c>
      <c r="E20" s="186" t="str">
        <f>IF(集計シート!AH61="〇",IF(集計シート!AD61="","",集計シート!AD61),"")</f>
        <v/>
      </c>
      <c r="F20" s="124"/>
      <c r="G20" s="125"/>
      <c r="H20" s="184">
        <v>84</v>
      </c>
      <c r="I20" s="440" t="str">
        <f>IF(集計シート!AH86="〇",集計シート!AC86&amp;"　"&amp;集計シート!AE86,"")</f>
        <v/>
      </c>
      <c r="J20" s="441"/>
      <c r="K20" s="442" t="str">
        <f>IF(集計シート!AH86="〇",集計シート!AA86&amp;集計シート!AB86,"")</f>
        <v/>
      </c>
      <c r="L20" s="443"/>
      <c r="M20" s="186" t="str">
        <f>IF(集計シート!AH86="〇",IF(集計シート!AD86="","",集計シート!AD86),"")</f>
        <v/>
      </c>
      <c r="N20" s="124"/>
      <c r="O20" s="126"/>
    </row>
    <row r="21" spans="1:15" ht="15.6" customHeight="1">
      <c r="A21" s="184">
        <v>60</v>
      </c>
      <c r="B21" s="439" t="str">
        <f>IF(集計シート!AH62="〇",集計シート!AC62&amp;"　"&amp;集計シート!AE62,"")</f>
        <v/>
      </c>
      <c r="C21" s="439"/>
      <c r="D21" s="185" t="str">
        <f>IF(集計シート!AH62="〇",集計シート!AA62&amp;集計シート!AB62,"")</f>
        <v/>
      </c>
      <c r="E21" s="186" t="str">
        <f>IF(集計シート!AH62="〇",IF(集計シート!AD62="","",集計シート!AD62),"")</f>
        <v/>
      </c>
      <c r="F21" s="124"/>
      <c r="G21" s="125"/>
      <c r="H21" s="184">
        <v>85</v>
      </c>
      <c r="I21" s="440" t="str">
        <f>IF(集計シート!AH87="〇",集計シート!AC87&amp;"　"&amp;集計シート!AE87,"")</f>
        <v/>
      </c>
      <c r="J21" s="441"/>
      <c r="K21" s="442" t="str">
        <f>IF(集計シート!AH87="〇",集計シート!AA87&amp;集計シート!AB87,"")</f>
        <v/>
      </c>
      <c r="L21" s="443"/>
      <c r="M21" s="186" t="str">
        <f>IF(集計シート!AH87="〇",IF(集計シート!AD87="","",集計シート!AD87),"")</f>
        <v/>
      </c>
      <c r="N21" s="124"/>
      <c r="O21" s="126"/>
    </row>
    <row r="22" spans="1:15" ht="15.6" customHeight="1">
      <c r="A22" s="184">
        <v>61</v>
      </c>
      <c r="B22" s="439" t="str">
        <f>IF(集計シート!AH63="〇",集計シート!AC63&amp;"　"&amp;集計シート!AE63,"")</f>
        <v/>
      </c>
      <c r="C22" s="439"/>
      <c r="D22" s="185" t="str">
        <f>IF(集計シート!AH63="〇",集計シート!AA63&amp;集計シート!AB63,"")</f>
        <v/>
      </c>
      <c r="E22" s="186" t="str">
        <f>IF(集計シート!AH63="〇",IF(集計シート!AD63="","",集計シート!AD63),"")</f>
        <v/>
      </c>
      <c r="F22" s="124"/>
      <c r="G22" s="125"/>
      <c r="H22" s="184">
        <v>86</v>
      </c>
      <c r="I22" s="440" t="str">
        <f>IF(集計シート!AH88="〇",集計シート!AC88&amp;"　"&amp;集計シート!AE88,"")</f>
        <v/>
      </c>
      <c r="J22" s="441"/>
      <c r="K22" s="442" t="str">
        <f>IF(集計シート!AH88="〇",集計シート!AA88&amp;集計シート!AB88,"")</f>
        <v/>
      </c>
      <c r="L22" s="443"/>
      <c r="M22" s="186" t="str">
        <f>IF(集計シート!AH88="〇",IF(集計シート!AD88="","",集計シート!AD88),"")</f>
        <v/>
      </c>
      <c r="N22" s="124"/>
      <c r="O22" s="126"/>
    </row>
    <row r="23" spans="1:15" ht="15.6" customHeight="1">
      <c r="A23" s="184">
        <v>62</v>
      </c>
      <c r="B23" s="439" t="str">
        <f>IF(集計シート!AH64="〇",集計シート!AC64&amp;"　"&amp;集計シート!AE64,"")</f>
        <v/>
      </c>
      <c r="C23" s="439"/>
      <c r="D23" s="185" t="str">
        <f>IF(集計シート!AH64="〇",集計シート!AA64&amp;集計シート!AB64,"")</f>
        <v/>
      </c>
      <c r="E23" s="186" t="str">
        <f>IF(集計シート!AH64="〇",IF(集計シート!AD64="","",集計シート!AD64),"")</f>
        <v/>
      </c>
      <c r="F23" s="124"/>
      <c r="G23" s="125"/>
      <c r="H23" s="184">
        <v>87</v>
      </c>
      <c r="I23" s="440" t="str">
        <f>IF(集計シート!AH89="〇",集計シート!AC89&amp;"　"&amp;集計シート!AE89,"")</f>
        <v/>
      </c>
      <c r="J23" s="441"/>
      <c r="K23" s="442" t="str">
        <f>IF(集計シート!AH89="〇",集計シート!AA89&amp;集計シート!AB89,"")</f>
        <v/>
      </c>
      <c r="L23" s="443"/>
      <c r="M23" s="186" t="str">
        <f>IF(集計シート!AH89="〇",IF(集計シート!AD89="","",集計シート!AD89),"")</f>
        <v/>
      </c>
      <c r="N23" s="124"/>
      <c r="O23" s="126"/>
    </row>
    <row r="24" spans="1:15" ht="15.6" customHeight="1">
      <c r="A24" s="184">
        <v>63</v>
      </c>
      <c r="B24" s="439" t="str">
        <f>IF(集計シート!AH65="〇",集計シート!AC65&amp;"　"&amp;集計シート!AE65,"")</f>
        <v/>
      </c>
      <c r="C24" s="439"/>
      <c r="D24" s="185" t="str">
        <f>IF(集計シート!AH65="〇",集計シート!AA65&amp;集計シート!AB65,"")</f>
        <v/>
      </c>
      <c r="E24" s="186" t="str">
        <f>IF(集計シート!AH65="〇",IF(集計シート!AD65="","",集計シート!AD65),"")</f>
        <v/>
      </c>
      <c r="F24" s="124"/>
      <c r="G24" s="125"/>
      <c r="H24" s="184">
        <v>88</v>
      </c>
      <c r="I24" s="440" t="str">
        <f>IF(集計シート!AH90="〇",集計シート!AC90&amp;"　"&amp;集計シート!AE90,"")</f>
        <v/>
      </c>
      <c r="J24" s="441"/>
      <c r="K24" s="442" t="str">
        <f>IF(集計シート!AH90="〇",集計シート!AA90&amp;集計シート!AB90,"")</f>
        <v/>
      </c>
      <c r="L24" s="443"/>
      <c r="M24" s="186" t="str">
        <f>IF(集計シート!AH90="〇",IF(集計シート!AD90="","",集計シート!AD90),"")</f>
        <v/>
      </c>
      <c r="N24" s="124"/>
      <c r="O24" s="126"/>
    </row>
    <row r="25" spans="1:15" ht="15.6" customHeight="1">
      <c r="A25" s="184">
        <v>64</v>
      </c>
      <c r="B25" s="439" t="str">
        <f>IF(集計シート!AH66="〇",集計シート!AC66&amp;"　"&amp;集計シート!AE66,"")</f>
        <v/>
      </c>
      <c r="C25" s="439"/>
      <c r="D25" s="185" t="str">
        <f>IF(集計シート!AH66="〇",集計シート!AA66&amp;集計シート!AB66,"")</f>
        <v/>
      </c>
      <c r="E25" s="186" t="str">
        <f>IF(集計シート!AH66="〇",IF(集計シート!AD66="","",集計シート!AD66),"")</f>
        <v/>
      </c>
      <c r="F25" s="124"/>
      <c r="G25" s="125"/>
      <c r="H25" s="184">
        <v>89</v>
      </c>
      <c r="I25" s="440" t="str">
        <f>IF(集計シート!AH91="〇",集計シート!AC91&amp;"　"&amp;集計シート!AE91,"")</f>
        <v/>
      </c>
      <c r="J25" s="441"/>
      <c r="K25" s="442" t="str">
        <f>IF(集計シート!AH91="〇",集計シート!AA91&amp;集計シート!AB91,"")</f>
        <v/>
      </c>
      <c r="L25" s="443"/>
      <c r="M25" s="186" t="str">
        <f>IF(集計シート!AH91="〇",IF(集計シート!AD91="","",集計シート!AD91),"")</f>
        <v/>
      </c>
      <c r="N25" s="124"/>
      <c r="O25" s="126"/>
    </row>
    <row r="26" spans="1:15" ht="15.6" customHeight="1">
      <c r="A26" s="184">
        <v>65</v>
      </c>
      <c r="B26" s="439" t="str">
        <f>IF(集計シート!AH67="〇",集計シート!AC67&amp;"　"&amp;集計シート!AE67,"")</f>
        <v/>
      </c>
      <c r="C26" s="439"/>
      <c r="D26" s="185" t="str">
        <f>IF(集計シート!AH67="〇",集計シート!AA67&amp;集計シート!AB67,"")</f>
        <v/>
      </c>
      <c r="E26" s="186" t="str">
        <f>IF(集計シート!AH67="〇",IF(集計シート!AD67="","",集計シート!AD67),"")</f>
        <v/>
      </c>
      <c r="F26" s="124"/>
      <c r="G26" s="125"/>
      <c r="H26" s="184">
        <v>90</v>
      </c>
      <c r="I26" s="440" t="str">
        <f>IF(集計シート!AH92="〇",集計シート!AC92&amp;"　"&amp;集計シート!AE92,"")</f>
        <v/>
      </c>
      <c r="J26" s="441"/>
      <c r="K26" s="442" t="str">
        <f>IF(集計シート!AH92="〇",集計シート!AA92&amp;集計シート!AB92,"")</f>
        <v/>
      </c>
      <c r="L26" s="443"/>
      <c r="M26" s="186" t="str">
        <f>IF(集計シート!AH92="〇",IF(集計シート!AD92="","",集計シート!AD92),"")</f>
        <v/>
      </c>
      <c r="N26" s="124"/>
      <c r="O26" s="126"/>
    </row>
    <row r="27" spans="1:15" ht="15.6" customHeight="1">
      <c r="A27" s="184">
        <v>66</v>
      </c>
      <c r="B27" s="439" t="str">
        <f>IF(集計シート!AH68="〇",集計シート!AC68&amp;"　"&amp;集計シート!AE68,"")</f>
        <v/>
      </c>
      <c r="C27" s="439"/>
      <c r="D27" s="185" t="str">
        <f>IF(集計シート!AH68="〇",集計シート!AA68&amp;集計シート!AB68,"")</f>
        <v/>
      </c>
      <c r="E27" s="186" t="str">
        <f>IF(集計シート!AH68="〇",IF(集計シート!AD68="","",集計シート!AD68),"")</f>
        <v/>
      </c>
      <c r="F27" s="124"/>
      <c r="G27" s="125"/>
      <c r="H27" s="184">
        <v>91</v>
      </c>
      <c r="I27" s="440" t="str">
        <f>IF(集計シート!AH93="〇",集計シート!AC93&amp;"　"&amp;集計シート!AE93,"")</f>
        <v/>
      </c>
      <c r="J27" s="441"/>
      <c r="K27" s="442" t="str">
        <f>IF(集計シート!AH93="〇",集計シート!AA93&amp;集計シート!AB93,"")</f>
        <v/>
      </c>
      <c r="L27" s="443"/>
      <c r="M27" s="186" t="str">
        <f>IF(集計シート!AH93="〇",IF(集計シート!AD93="","",集計シート!AD93),"")</f>
        <v/>
      </c>
      <c r="N27" s="124"/>
      <c r="O27" s="126"/>
    </row>
    <row r="28" spans="1:15" ht="15.6" customHeight="1">
      <c r="A28" s="184">
        <v>67</v>
      </c>
      <c r="B28" s="439" t="str">
        <f>IF(集計シート!AH69="〇",集計シート!AC69&amp;"　"&amp;集計シート!AE69,"")</f>
        <v/>
      </c>
      <c r="C28" s="439"/>
      <c r="D28" s="185" t="str">
        <f>IF(集計シート!AH69="〇",集計シート!AA69&amp;集計シート!AB69,"")</f>
        <v/>
      </c>
      <c r="E28" s="186" t="str">
        <f>IF(集計シート!AH69="〇",IF(集計シート!AD69="","",集計シート!AD69),"")</f>
        <v/>
      </c>
      <c r="F28" s="124"/>
      <c r="G28" s="125"/>
      <c r="H28" s="184">
        <v>92</v>
      </c>
      <c r="I28" s="440" t="str">
        <f>IF(集計シート!AH94="〇",集計シート!AC94&amp;"　"&amp;集計シート!AE94,"")</f>
        <v/>
      </c>
      <c r="J28" s="441"/>
      <c r="K28" s="442" t="str">
        <f>IF(集計シート!AH94="〇",集計シート!AA94&amp;集計シート!AB94,"")</f>
        <v/>
      </c>
      <c r="L28" s="443"/>
      <c r="M28" s="186" t="str">
        <f>IF(集計シート!AH94="〇",IF(集計シート!AD94="","",集計シート!AD94),"")</f>
        <v/>
      </c>
      <c r="N28" s="124"/>
      <c r="O28" s="126"/>
    </row>
    <row r="29" spans="1:15" ht="15.6" customHeight="1">
      <c r="A29" s="184">
        <v>68</v>
      </c>
      <c r="B29" s="439" t="str">
        <f>IF(集計シート!AH70="〇",集計シート!AC70&amp;"　"&amp;集計シート!AE70,"")</f>
        <v/>
      </c>
      <c r="C29" s="439"/>
      <c r="D29" s="185" t="str">
        <f>IF(集計シート!AH70="〇",集計シート!AA70&amp;集計シート!AB70,"")</f>
        <v/>
      </c>
      <c r="E29" s="186" t="str">
        <f>IF(集計シート!AH70="〇",IF(集計シート!AD70="","",集計シート!AD70),"")</f>
        <v/>
      </c>
      <c r="F29" s="124"/>
      <c r="G29" s="125"/>
      <c r="H29" s="184">
        <v>93</v>
      </c>
      <c r="I29" s="440" t="str">
        <f>IF(集計シート!AH95="〇",集計シート!AC95&amp;"　"&amp;集計シート!AE95,"")</f>
        <v/>
      </c>
      <c r="J29" s="441"/>
      <c r="K29" s="442" t="str">
        <f>IF(集計シート!AH95="〇",集計シート!AA95&amp;集計シート!AB95,"")</f>
        <v/>
      </c>
      <c r="L29" s="443"/>
      <c r="M29" s="186" t="str">
        <f>IF(集計シート!AH95="〇",IF(集計シート!AD95="","",集計シート!AD95),"")</f>
        <v/>
      </c>
      <c r="N29" s="124"/>
      <c r="O29" s="126"/>
    </row>
    <row r="30" spans="1:15" ht="15.6" customHeight="1">
      <c r="A30" s="184">
        <v>69</v>
      </c>
      <c r="B30" s="439" t="str">
        <f>IF(集計シート!AH71="〇",集計シート!AC71&amp;"　"&amp;集計シート!AE71,"")</f>
        <v/>
      </c>
      <c r="C30" s="439"/>
      <c r="D30" s="185" t="str">
        <f>IF(集計シート!AH71="〇",集計シート!AA71&amp;集計シート!AB71,"")</f>
        <v/>
      </c>
      <c r="E30" s="186" t="str">
        <f>IF(集計シート!AH71="〇",IF(集計シート!AD71="","",集計シート!AD71),"")</f>
        <v/>
      </c>
      <c r="F30" s="124"/>
      <c r="G30" s="125"/>
      <c r="H30" s="184">
        <v>94</v>
      </c>
      <c r="I30" s="440" t="str">
        <f>IF(集計シート!AH96="〇",集計シート!AC96&amp;"　"&amp;集計シート!AE96,"")</f>
        <v/>
      </c>
      <c r="J30" s="441"/>
      <c r="K30" s="442" t="str">
        <f>IF(集計シート!AH96="〇",集計シート!AA96&amp;集計シート!AB96,"")</f>
        <v/>
      </c>
      <c r="L30" s="443"/>
      <c r="M30" s="186" t="str">
        <f>IF(集計シート!AH96="〇",IF(集計シート!AD96="","",集計シート!AD96),"")</f>
        <v/>
      </c>
      <c r="N30" s="124"/>
      <c r="O30" s="126"/>
    </row>
    <row r="31" spans="1:15" ht="15.6" customHeight="1">
      <c r="A31" s="184">
        <v>70</v>
      </c>
      <c r="B31" s="439" t="str">
        <f>IF(集計シート!AH72="〇",集計シート!AC72&amp;"　"&amp;集計シート!AE72,"")</f>
        <v/>
      </c>
      <c r="C31" s="439"/>
      <c r="D31" s="185" t="str">
        <f>IF(集計シート!AH72="〇",集計シート!AA72&amp;集計シート!AB72,"")</f>
        <v/>
      </c>
      <c r="E31" s="186" t="str">
        <f>IF(集計シート!AH72="〇",IF(集計シート!AD72="","",集計シート!AD72),"")</f>
        <v/>
      </c>
      <c r="F31" s="124"/>
      <c r="G31" s="125"/>
      <c r="H31" s="184">
        <v>95</v>
      </c>
      <c r="I31" s="440" t="str">
        <f>IF(集計シート!AH97="〇",集計シート!AC97&amp;"　"&amp;集計シート!AE97,"")</f>
        <v/>
      </c>
      <c r="J31" s="441"/>
      <c r="K31" s="442" t="str">
        <f>IF(集計シート!AH97="〇",集計シート!AA97&amp;集計シート!AB97,"")</f>
        <v/>
      </c>
      <c r="L31" s="443"/>
      <c r="M31" s="186" t="str">
        <f>IF(集計シート!AH97="〇",IF(集計シート!AD97="","",集計シート!AD97),"")</f>
        <v/>
      </c>
      <c r="N31" s="124"/>
      <c r="O31" s="126"/>
    </row>
    <row r="32" spans="1:15" ht="15.6" customHeight="1">
      <c r="A32" s="184">
        <v>71</v>
      </c>
      <c r="B32" s="439" t="str">
        <f>IF(集計シート!AH73="〇",集計シート!AC73&amp;"　"&amp;集計シート!AE73,"")</f>
        <v/>
      </c>
      <c r="C32" s="439"/>
      <c r="D32" s="185" t="str">
        <f>IF(集計シート!AH73="〇",集計シート!AA73&amp;集計シート!AB73,"")</f>
        <v/>
      </c>
      <c r="E32" s="186" t="str">
        <f>IF(集計シート!AH73="〇",IF(集計シート!AD73="","",集計シート!AD73),"")</f>
        <v/>
      </c>
      <c r="F32" s="124"/>
      <c r="G32" s="125"/>
      <c r="H32" s="184">
        <v>96</v>
      </c>
      <c r="I32" s="440" t="str">
        <f>IF(集計シート!AH98="〇",集計シート!AC98&amp;"　"&amp;集計シート!AE98,"")</f>
        <v/>
      </c>
      <c r="J32" s="441"/>
      <c r="K32" s="442" t="str">
        <f>IF(集計シート!AH98="〇",集計シート!AA98&amp;集計シート!AB98,"")</f>
        <v/>
      </c>
      <c r="L32" s="443"/>
      <c r="M32" s="186" t="str">
        <f>IF(集計シート!AH98="〇",IF(集計シート!AD98="","",集計シート!AD98),"")</f>
        <v/>
      </c>
      <c r="N32" s="124"/>
      <c r="O32" s="126"/>
    </row>
    <row r="33" spans="1:15" ht="15.6" customHeight="1">
      <c r="A33" s="184">
        <v>72</v>
      </c>
      <c r="B33" s="439" t="str">
        <f>IF(集計シート!AH74="〇",集計シート!AC74&amp;"　"&amp;集計シート!AE74,"")</f>
        <v/>
      </c>
      <c r="C33" s="439"/>
      <c r="D33" s="185" t="str">
        <f>IF(集計シート!AH74="〇",集計シート!AA74&amp;集計シート!AB74,"")</f>
        <v/>
      </c>
      <c r="E33" s="186" t="str">
        <f>IF(集計シート!AH74="〇",IF(集計シート!AD74="","",集計シート!AD74),"")</f>
        <v/>
      </c>
      <c r="F33" s="124"/>
      <c r="G33" s="125"/>
      <c r="H33" s="184">
        <v>97</v>
      </c>
      <c r="I33" s="440" t="str">
        <f>IF(集計シート!AH99="〇",集計シート!AC99&amp;"　"&amp;集計シート!AE99,"")</f>
        <v/>
      </c>
      <c r="J33" s="441"/>
      <c r="K33" s="442" t="str">
        <f>IF(集計シート!AH99="〇",集計シート!AA99&amp;集計シート!AB99,"")</f>
        <v/>
      </c>
      <c r="L33" s="443"/>
      <c r="M33" s="186" t="str">
        <f>IF(集計シート!AH99="〇",IF(集計シート!AD99="","",集計シート!AD99),"")</f>
        <v/>
      </c>
      <c r="N33" s="124"/>
      <c r="O33" s="126"/>
    </row>
    <row r="34" spans="1:15" ht="15.6" customHeight="1">
      <c r="A34" s="184">
        <v>73</v>
      </c>
      <c r="B34" s="439" t="str">
        <f>IF(集計シート!AH75="〇",集計シート!AC75&amp;"　"&amp;集計シート!AE75,"")</f>
        <v/>
      </c>
      <c r="C34" s="439"/>
      <c r="D34" s="185" t="str">
        <f>IF(集計シート!AH75="〇",集計シート!AA75&amp;集計シート!AB75,"")</f>
        <v/>
      </c>
      <c r="E34" s="186" t="str">
        <f>IF(集計シート!AH75="〇",IF(集計シート!AD75="","",集計シート!AD75),"")</f>
        <v/>
      </c>
      <c r="F34" s="124"/>
      <c r="G34" s="125"/>
      <c r="H34" s="184">
        <v>98</v>
      </c>
      <c r="I34" s="440" t="str">
        <f>IF(集計シート!AH100="〇",集計シート!AC100&amp;"　"&amp;集計シート!AE100,"")</f>
        <v/>
      </c>
      <c r="J34" s="441"/>
      <c r="K34" s="442" t="str">
        <f>IF(集計シート!AH100="〇",集計シート!AA100&amp;集計シート!AB100,"")</f>
        <v/>
      </c>
      <c r="L34" s="443"/>
      <c r="M34" s="186" t="str">
        <f>IF(集計シート!AH100="〇",IF(集計シート!AD100="","",集計シート!AD100),"")</f>
        <v/>
      </c>
      <c r="N34" s="124"/>
      <c r="O34" s="126"/>
    </row>
    <row r="35" spans="1:15" ht="15.6" customHeight="1">
      <c r="A35" s="184">
        <v>74</v>
      </c>
      <c r="B35" s="439" t="str">
        <f>IF(集計シート!AH76="〇",集計シート!AC76&amp;"　"&amp;集計シート!AE76,"")</f>
        <v/>
      </c>
      <c r="C35" s="439"/>
      <c r="D35" s="185" t="str">
        <f>IF(集計シート!AH76="〇",集計シート!AA76&amp;集計シート!AB76,"")</f>
        <v/>
      </c>
      <c r="E35" s="186" t="str">
        <f>IF(集計シート!AH76="〇",IF(集計シート!AD76="","",集計シート!AD76),"")</f>
        <v/>
      </c>
      <c r="F35" s="124"/>
      <c r="G35" s="125"/>
      <c r="H35" s="184">
        <v>99</v>
      </c>
      <c r="I35" s="440" t="str">
        <f>IF(集計シート!AH101="〇",集計シート!AC101&amp;"　"&amp;集計シート!AE101,"")</f>
        <v/>
      </c>
      <c r="J35" s="441"/>
      <c r="K35" s="442" t="str">
        <f>IF(集計シート!AH101="〇",集計シート!AA101&amp;集計シート!AB101,"")</f>
        <v/>
      </c>
      <c r="L35" s="443"/>
      <c r="M35" s="186" t="str">
        <f>IF(集計シート!AH101="〇",IF(集計シート!AD101="","",集計シート!AD101),"")</f>
        <v/>
      </c>
      <c r="N35" s="124"/>
      <c r="O35" s="126"/>
    </row>
    <row r="36" spans="1:15" ht="15.6" customHeight="1" thickBot="1">
      <c r="A36" s="187">
        <v>75</v>
      </c>
      <c r="B36" s="450" t="str">
        <f>IF(集計シート!AH77="〇",集計シート!AC77&amp;"　"&amp;集計シート!AE77,"")</f>
        <v/>
      </c>
      <c r="C36" s="450"/>
      <c r="D36" s="188" t="str">
        <f>IF(集計シート!AH77="〇",集計シート!AA77&amp;集計シート!AB77,"")</f>
        <v/>
      </c>
      <c r="E36" s="189" t="str">
        <f>IF(集計シート!AH77="〇",IF(集計シート!AD77="","",集計シート!AD77),"")</f>
        <v/>
      </c>
      <c r="F36" s="124"/>
      <c r="G36" s="125"/>
      <c r="H36" s="187">
        <v>100</v>
      </c>
      <c r="I36" s="451" t="str">
        <f>IF(集計シート!AH102="〇",集計シート!AC102&amp;"　"&amp;集計シート!AE102,"")</f>
        <v/>
      </c>
      <c r="J36" s="452"/>
      <c r="K36" s="453" t="str">
        <f>IF(集計シート!AH102="〇",集計シート!AA102&amp;集計シート!AB102,"")</f>
        <v/>
      </c>
      <c r="L36" s="454"/>
      <c r="M36" s="189" t="str">
        <f>IF(集計シート!AH102="〇",IF(集計シート!AD102="","",集計シート!AD102),"")</f>
        <v/>
      </c>
      <c r="N36" s="124"/>
      <c r="O36" s="126"/>
    </row>
    <row r="37" spans="1:15" ht="19.5" thickBot="1">
      <c r="A37" s="127"/>
      <c r="B37" s="127"/>
    </row>
    <row r="38" spans="1:15" ht="15.95" customHeight="1">
      <c r="A38" s="455" t="s">
        <v>171</v>
      </c>
      <c r="B38" s="458" t="s">
        <v>172</v>
      </c>
      <c r="C38" s="458"/>
      <c r="D38" s="458" t="s">
        <v>173</v>
      </c>
      <c r="E38" s="459"/>
      <c r="F38" s="128" t="s">
        <v>174</v>
      </c>
      <c r="G38" s="129" t="s">
        <v>175</v>
      </c>
      <c r="H38" s="130"/>
      <c r="I38" s="460" t="s">
        <v>176</v>
      </c>
      <c r="J38" s="460"/>
      <c r="K38" s="460"/>
      <c r="L38" s="460"/>
      <c r="M38" s="460"/>
      <c r="N38" s="460"/>
      <c r="O38" s="460"/>
    </row>
    <row r="39" spans="1:15" ht="15.95" customHeight="1">
      <c r="A39" s="456"/>
      <c r="B39" s="461"/>
      <c r="C39" s="461"/>
      <c r="D39" s="462"/>
      <c r="E39" s="463"/>
      <c r="F39" s="464"/>
      <c r="G39" s="467" t="s">
        <v>177</v>
      </c>
      <c r="H39" s="131"/>
      <c r="I39" s="469" t="s">
        <v>172</v>
      </c>
      <c r="J39" s="470" t="str">
        <f>集計シート!B103</f>
        <v/>
      </c>
      <c r="K39" s="471"/>
      <c r="L39" s="471"/>
      <c r="M39" s="471"/>
      <c r="N39" s="471"/>
      <c r="O39" s="472"/>
    </row>
    <row r="40" spans="1:15" ht="15.95" customHeight="1">
      <c r="A40" s="456"/>
      <c r="B40" s="476"/>
      <c r="C40" s="476"/>
      <c r="D40" s="476"/>
      <c r="E40" s="477"/>
      <c r="F40" s="464"/>
      <c r="G40" s="467"/>
      <c r="H40" s="131"/>
      <c r="I40" s="469"/>
      <c r="J40" s="473"/>
      <c r="K40" s="474"/>
      <c r="L40" s="474"/>
      <c r="M40" s="474"/>
      <c r="N40" s="474"/>
      <c r="O40" s="475"/>
    </row>
    <row r="41" spans="1:15" ht="15.95" customHeight="1">
      <c r="A41" s="456"/>
      <c r="B41" s="476"/>
      <c r="C41" s="476"/>
      <c r="D41" s="476"/>
      <c r="E41" s="477"/>
      <c r="F41" s="464"/>
      <c r="G41" s="467"/>
      <c r="H41" s="131"/>
      <c r="I41" s="469" t="s">
        <v>178</v>
      </c>
      <c r="J41" s="470" t="str">
        <f>集計シート!E106</f>
        <v/>
      </c>
      <c r="K41" s="471"/>
      <c r="L41" s="471"/>
      <c r="M41" s="471"/>
      <c r="N41" s="471"/>
      <c r="O41" s="472"/>
    </row>
    <row r="42" spans="1:15" ht="15.95" customHeight="1" thickBot="1">
      <c r="A42" s="457"/>
      <c r="B42" s="465"/>
      <c r="C42" s="465"/>
      <c r="D42" s="465"/>
      <c r="E42" s="466"/>
      <c r="F42" s="464"/>
      <c r="G42" s="468"/>
      <c r="H42" s="131"/>
      <c r="I42" s="469"/>
      <c r="J42" s="473"/>
      <c r="K42" s="474"/>
      <c r="L42" s="474"/>
      <c r="M42" s="474"/>
      <c r="N42" s="474"/>
      <c r="O42" s="475"/>
    </row>
    <row r="43" spans="1:15" ht="20.25" customHeight="1">
      <c r="A43" s="127"/>
      <c r="B43" s="127"/>
    </row>
    <row r="44" spans="1:15" ht="20.100000000000001" customHeight="1">
      <c r="A44" s="491" t="s">
        <v>179</v>
      </c>
      <c r="B44" s="460" t="s">
        <v>180</v>
      </c>
      <c r="C44" s="460"/>
      <c r="D44" s="132" t="s">
        <v>181</v>
      </c>
      <c r="E44" s="460" t="s">
        <v>182</v>
      </c>
      <c r="F44" s="460"/>
      <c r="G44" s="133"/>
      <c r="H44" s="492" t="s">
        <v>183</v>
      </c>
      <c r="I44" s="492"/>
      <c r="J44" s="492"/>
      <c r="K44" s="492"/>
      <c r="L44" s="134"/>
      <c r="M44" s="493" t="s">
        <v>184</v>
      </c>
      <c r="N44" s="494"/>
      <c r="O44" s="495"/>
    </row>
    <row r="45" spans="1:15" ht="20.100000000000001" customHeight="1">
      <c r="A45" s="491"/>
      <c r="B45" s="496" t="s">
        <v>185</v>
      </c>
      <c r="C45" s="496"/>
      <c r="D45" s="496" t="s">
        <v>186</v>
      </c>
      <c r="E45" s="497" t="s">
        <v>187</v>
      </c>
      <c r="F45" s="498"/>
      <c r="G45" s="503"/>
      <c r="H45" s="483"/>
      <c r="I45" s="483"/>
      <c r="J45" s="483"/>
      <c r="K45" s="483"/>
      <c r="L45" s="134"/>
      <c r="M45" s="484" t="s">
        <v>188</v>
      </c>
      <c r="N45" s="485"/>
      <c r="O45" s="486"/>
    </row>
    <row r="46" spans="1:15" ht="20.100000000000001" customHeight="1">
      <c r="A46" s="491"/>
      <c r="B46" s="496"/>
      <c r="C46" s="496"/>
      <c r="D46" s="496"/>
      <c r="E46" s="499"/>
      <c r="F46" s="500"/>
      <c r="G46" s="503"/>
      <c r="H46" s="483"/>
      <c r="I46" s="483"/>
      <c r="J46" s="483"/>
      <c r="K46" s="483"/>
      <c r="L46" s="134"/>
      <c r="M46" s="484"/>
      <c r="N46" s="485"/>
      <c r="O46" s="486"/>
    </row>
    <row r="47" spans="1:15" ht="20.100000000000001" customHeight="1">
      <c r="A47" s="491"/>
      <c r="B47" s="496"/>
      <c r="C47" s="496"/>
      <c r="D47" s="496"/>
      <c r="E47" s="501"/>
      <c r="F47" s="502"/>
      <c r="G47" s="503"/>
      <c r="H47" s="483"/>
      <c r="I47" s="483"/>
      <c r="J47" s="483"/>
      <c r="K47" s="483"/>
      <c r="L47" s="134"/>
      <c r="M47" s="484"/>
      <c r="N47" s="485"/>
      <c r="O47" s="486"/>
    </row>
    <row r="48" spans="1:15" ht="20.100000000000001" customHeight="1">
      <c r="A48" s="491"/>
      <c r="B48" s="487" t="s">
        <v>189</v>
      </c>
      <c r="C48" s="487"/>
      <c r="D48" s="135" t="s">
        <v>189</v>
      </c>
      <c r="E48" s="487" t="s">
        <v>190</v>
      </c>
      <c r="F48" s="487"/>
      <c r="G48" s="136"/>
      <c r="H48" s="483"/>
      <c r="I48" s="483"/>
      <c r="J48" s="483"/>
      <c r="K48" s="483"/>
      <c r="L48" s="137"/>
      <c r="M48" s="488" t="s">
        <v>191</v>
      </c>
      <c r="N48" s="489"/>
      <c r="O48" s="490"/>
    </row>
    <row r="49" spans="1:15" s="138" customFormat="1" ht="35.1" customHeight="1">
      <c r="A49" s="478" t="s">
        <v>192</v>
      </c>
      <c r="B49" s="478"/>
      <c r="C49" s="479"/>
      <c r="D49" s="479"/>
      <c r="E49" s="479"/>
      <c r="F49" s="479"/>
      <c r="G49" s="479"/>
      <c r="H49" s="479"/>
      <c r="I49" s="479"/>
      <c r="J49" s="479"/>
      <c r="K49" s="479"/>
      <c r="L49" s="479"/>
      <c r="M49" s="479"/>
      <c r="N49" s="479"/>
      <c r="O49" s="479"/>
    </row>
    <row r="50" spans="1:15">
      <c r="A50" s="139"/>
      <c r="B50" s="139"/>
    </row>
    <row r="51" spans="1:15">
      <c r="A51" s="480" t="s">
        <v>193</v>
      </c>
      <c r="B51" s="480"/>
      <c r="C51" s="323"/>
      <c r="D51" s="323"/>
      <c r="E51" s="323"/>
      <c r="F51" s="323"/>
      <c r="G51" s="323"/>
      <c r="H51" s="323"/>
      <c r="I51" s="323"/>
      <c r="J51" s="323"/>
      <c r="K51" s="323"/>
      <c r="L51" s="323"/>
      <c r="M51" s="323"/>
      <c r="N51" s="323"/>
      <c r="O51" s="323"/>
    </row>
    <row r="52" spans="1:15">
      <c r="A52" s="481" t="s">
        <v>194</v>
      </c>
      <c r="B52" s="481"/>
      <c r="C52" s="481"/>
      <c r="D52" s="481"/>
      <c r="E52" s="481"/>
      <c r="F52" s="481"/>
      <c r="G52" s="481"/>
      <c r="H52" s="481"/>
      <c r="I52" s="481"/>
      <c r="J52" s="481"/>
      <c r="K52" s="481"/>
      <c r="L52" s="481"/>
      <c r="M52" s="481"/>
      <c r="N52" s="481"/>
      <c r="O52" s="481"/>
    </row>
    <row r="53" spans="1:15" ht="18.75" customHeight="1">
      <c r="A53" s="140">
        <v>1</v>
      </c>
      <c r="B53" s="482" t="s">
        <v>195</v>
      </c>
      <c r="C53" s="482"/>
      <c r="D53" s="482"/>
      <c r="E53" s="482"/>
      <c r="F53" s="482"/>
      <c r="G53" s="482"/>
      <c r="H53" s="482"/>
      <c r="I53" s="482"/>
      <c r="J53" s="482"/>
      <c r="K53" s="482"/>
      <c r="L53" s="482"/>
      <c r="M53" s="482"/>
      <c r="N53" s="482"/>
      <c r="O53" s="482"/>
    </row>
    <row r="54" spans="1:15" ht="36.75" customHeight="1">
      <c r="A54" s="140">
        <v>2</v>
      </c>
      <c r="B54" s="482" t="s">
        <v>196</v>
      </c>
      <c r="C54" s="482"/>
      <c r="D54" s="482"/>
      <c r="E54" s="482"/>
      <c r="F54" s="482"/>
      <c r="G54" s="482"/>
      <c r="H54" s="482"/>
      <c r="I54" s="482"/>
      <c r="J54" s="482"/>
      <c r="K54" s="482"/>
      <c r="L54" s="482"/>
      <c r="M54" s="482"/>
      <c r="N54" s="482"/>
      <c r="O54" s="482"/>
    </row>
    <row r="55" spans="1:15" ht="37.5" customHeight="1">
      <c r="A55" s="140">
        <v>3</v>
      </c>
      <c r="B55" s="482" t="s">
        <v>197</v>
      </c>
      <c r="C55" s="482"/>
      <c r="D55" s="482"/>
      <c r="E55" s="482"/>
      <c r="F55" s="482"/>
      <c r="G55" s="482"/>
      <c r="H55" s="482"/>
      <c r="I55" s="482"/>
      <c r="J55" s="482"/>
      <c r="K55" s="482"/>
      <c r="L55" s="482"/>
      <c r="M55" s="482"/>
      <c r="N55" s="482"/>
      <c r="O55" s="482"/>
    </row>
    <row r="56" spans="1:15">
      <c r="A56" s="141"/>
      <c r="B56" s="141"/>
    </row>
    <row r="57" spans="1:15" ht="19.5" thickBot="1">
      <c r="A57" s="480" t="s">
        <v>198</v>
      </c>
      <c r="B57" s="480"/>
      <c r="C57" s="323"/>
      <c r="D57" s="323"/>
      <c r="E57" s="323"/>
      <c r="F57" s="323"/>
      <c r="G57" s="323"/>
      <c r="H57" s="323"/>
      <c r="I57" s="323"/>
      <c r="J57" s="323"/>
      <c r="K57" s="323"/>
      <c r="L57" s="323"/>
      <c r="M57" s="323"/>
      <c r="N57" s="323"/>
      <c r="O57" s="323"/>
    </row>
    <row r="58" spans="1:15" ht="18.75" customHeight="1">
      <c r="A58" s="512" t="s">
        <v>234</v>
      </c>
      <c r="B58" s="513"/>
      <c r="C58" s="513"/>
      <c r="D58" s="513"/>
      <c r="E58" s="513"/>
      <c r="F58" s="513"/>
      <c r="G58" s="513"/>
      <c r="H58" s="513"/>
      <c r="I58" s="513"/>
      <c r="J58" s="513"/>
      <c r="K58" s="513"/>
      <c r="L58" s="513"/>
      <c r="M58" s="513"/>
      <c r="N58" s="513"/>
      <c r="O58" s="514"/>
    </row>
    <row r="59" spans="1:15" ht="18.75" customHeight="1">
      <c r="A59" s="515"/>
      <c r="B59" s="516"/>
      <c r="C59" s="516"/>
      <c r="D59" s="516"/>
      <c r="E59" s="516"/>
      <c r="F59" s="516"/>
      <c r="G59" s="516"/>
      <c r="H59" s="516"/>
      <c r="I59" s="516"/>
      <c r="J59" s="516"/>
      <c r="K59" s="516"/>
      <c r="L59" s="516"/>
      <c r="M59" s="516"/>
      <c r="N59" s="516"/>
      <c r="O59" s="517"/>
    </row>
    <row r="60" spans="1:15" ht="18.75" customHeight="1">
      <c r="A60" s="515"/>
      <c r="B60" s="516"/>
      <c r="C60" s="516"/>
      <c r="D60" s="516"/>
      <c r="E60" s="516"/>
      <c r="F60" s="516"/>
      <c r="G60" s="516"/>
      <c r="H60" s="516"/>
      <c r="I60" s="516"/>
      <c r="J60" s="516"/>
      <c r="K60" s="516"/>
      <c r="L60" s="516"/>
      <c r="M60" s="516"/>
      <c r="N60" s="516"/>
      <c r="O60" s="517"/>
    </row>
    <row r="61" spans="1:15" ht="18.75" customHeight="1">
      <c r="A61" s="515"/>
      <c r="B61" s="516"/>
      <c r="C61" s="516"/>
      <c r="D61" s="516"/>
      <c r="E61" s="516"/>
      <c r="F61" s="516"/>
      <c r="G61" s="516"/>
      <c r="H61" s="516"/>
      <c r="I61" s="516"/>
      <c r="J61" s="516"/>
      <c r="K61" s="516"/>
      <c r="L61" s="516"/>
      <c r="M61" s="516"/>
      <c r="N61" s="516"/>
      <c r="O61" s="517"/>
    </row>
    <row r="62" spans="1:15" ht="18.75" customHeight="1">
      <c r="A62" s="515"/>
      <c r="B62" s="516"/>
      <c r="C62" s="516"/>
      <c r="D62" s="516"/>
      <c r="E62" s="516"/>
      <c r="F62" s="516"/>
      <c r="G62" s="516"/>
      <c r="H62" s="516"/>
      <c r="I62" s="516"/>
      <c r="J62" s="516"/>
      <c r="K62" s="516"/>
      <c r="L62" s="516"/>
      <c r="M62" s="516"/>
      <c r="N62" s="516"/>
      <c r="O62" s="517"/>
    </row>
    <row r="63" spans="1:15" ht="18.75" customHeight="1">
      <c r="A63" s="515"/>
      <c r="B63" s="516"/>
      <c r="C63" s="516"/>
      <c r="D63" s="516"/>
      <c r="E63" s="516"/>
      <c r="F63" s="516"/>
      <c r="G63" s="516"/>
      <c r="H63" s="516"/>
      <c r="I63" s="516"/>
      <c r="J63" s="516"/>
      <c r="K63" s="516"/>
      <c r="L63" s="516"/>
      <c r="M63" s="516"/>
      <c r="N63" s="516"/>
      <c r="O63" s="517"/>
    </row>
    <row r="64" spans="1:15" ht="18.75" customHeight="1">
      <c r="A64" s="515"/>
      <c r="B64" s="516"/>
      <c r="C64" s="516"/>
      <c r="D64" s="516"/>
      <c r="E64" s="516"/>
      <c r="F64" s="516"/>
      <c r="G64" s="516"/>
      <c r="H64" s="516"/>
      <c r="I64" s="516"/>
      <c r="J64" s="516"/>
      <c r="K64" s="516"/>
      <c r="L64" s="516"/>
      <c r="M64" s="516"/>
      <c r="N64" s="516"/>
      <c r="O64" s="517"/>
    </row>
    <row r="65" spans="1:15" ht="18.75" customHeight="1">
      <c r="A65" s="515"/>
      <c r="B65" s="516"/>
      <c r="C65" s="516"/>
      <c r="D65" s="516"/>
      <c r="E65" s="516"/>
      <c r="F65" s="516"/>
      <c r="G65" s="516"/>
      <c r="H65" s="516"/>
      <c r="I65" s="516"/>
      <c r="J65" s="516"/>
      <c r="K65" s="516"/>
      <c r="L65" s="516"/>
      <c r="M65" s="516"/>
      <c r="N65" s="516"/>
      <c r="O65" s="517"/>
    </row>
    <row r="66" spans="1:15" ht="18.75" customHeight="1">
      <c r="A66" s="515"/>
      <c r="B66" s="516"/>
      <c r="C66" s="516"/>
      <c r="D66" s="516"/>
      <c r="E66" s="516"/>
      <c r="F66" s="516"/>
      <c r="G66" s="516"/>
      <c r="H66" s="516"/>
      <c r="I66" s="516"/>
      <c r="J66" s="516"/>
      <c r="K66" s="516"/>
      <c r="L66" s="516"/>
      <c r="M66" s="516"/>
      <c r="N66" s="516"/>
      <c r="O66" s="517"/>
    </row>
    <row r="67" spans="1:15" ht="18.75" customHeight="1">
      <c r="A67" s="515"/>
      <c r="B67" s="516"/>
      <c r="C67" s="516"/>
      <c r="D67" s="516"/>
      <c r="E67" s="516"/>
      <c r="F67" s="516"/>
      <c r="G67" s="516"/>
      <c r="H67" s="516"/>
      <c r="I67" s="516"/>
      <c r="J67" s="516"/>
      <c r="K67" s="516"/>
      <c r="L67" s="516"/>
      <c r="M67" s="516"/>
      <c r="N67" s="516"/>
      <c r="O67" s="517"/>
    </row>
    <row r="68" spans="1:15" ht="18.75" customHeight="1" thickBot="1">
      <c r="A68" s="518"/>
      <c r="B68" s="519"/>
      <c r="C68" s="519"/>
      <c r="D68" s="519"/>
      <c r="E68" s="519"/>
      <c r="F68" s="519"/>
      <c r="G68" s="519"/>
      <c r="H68" s="519"/>
      <c r="I68" s="519"/>
      <c r="J68" s="519"/>
      <c r="K68" s="519"/>
      <c r="L68" s="519"/>
      <c r="M68" s="519"/>
      <c r="N68" s="519"/>
      <c r="O68" s="520"/>
    </row>
    <row r="69" spans="1:15" ht="19.5" thickBot="1">
      <c r="A69" s="142"/>
      <c r="B69" s="142"/>
    </row>
    <row r="70" spans="1:15" ht="30" customHeight="1" thickBot="1">
      <c r="A70" s="508" t="s">
        <v>235</v>
      </c>
      <c r="B70" s="509"/>
      <c r="C70" s="509"/>
      <c r="D70" s="509"/>
      <c r="E70" s="509"/>
      <c r="F70" s="509"/>
      <c r="G70" s="182">
        <f>分銅情報入力シート!L4</f>
        <v>0</v>
      </c>
      <c r="H70" s="178"/>
      <c r="I70" s="178"/>
      <c r="J70" s="178"/>
      <c r="K70" s="178" t="s">
        <v>16</v>
      </c>
      <c r="L70" s="178"/>
      <c r="M70" s="178"/>
      <c r="N70" s="178"/>
      <c r="O70" s="179"/>
    </row>
    <row r="71" spans="1:15" ht="18.75" customHeight="1" thickBot="1">
      <c r="A71" s="521" t="s">
        <v>199</v>
      </c>
      <c r="B71" s="522"/>
      <c r="C71" s="522"/>
      <c r="D71" s="522"/>
      <c r="E71" s="522"/>
      <c r="F71" s="522"/>
      <c r="G71" s="522"/>
      <c r="H71" s="522"/>
      <c r="I71" s="522"/>
      <c r="J71" s="522"/>
      <c r="K71" s="522"/>
      <c r="L71" s="522"/>
      <c r="M71" s="522"/>
      <c r="N71" s="522"/>
      <c r="O71" s="523"/>
    </row>
    <row r="72" spans="1:15" ht="18.75" customHeight="1" thickBot="1">
      <c r="A72" s="521"/>
      <c r="B72" s="522"/>
      <c r="C72" s="522"/>
      <c r="D72" s="522"/>
      <c r="E72" s="522"/>
      <c r="F72" s="522"/>
      <c r="G72" s="522"/>
      <c r="H72" s="522"/>
      <c r="I72" s="522"/>
      <c r="J72" s="522"/>
      <c r="K72" s="522"/>
      <c r="L72" s="522"/>
      <c r="M72" s="522"/>
      <c r="N72" s="522"/>
      <c r="O72" s="523"/>
    </row>
    <row r="73" spans="1:15" ht="18.75" customHeight="1" thickBot="1">
      <c r="A73" s="521"/>
      <c r="B73" s="522"/>
      <c r="C73" s="522"/>
      <c r="D73" s="522"/>
      <c r="E73" s="522"/>
      <c r="F73" s="522"/>
      <c r="G73" s="522"/>
      <c r="H73" s="522"/>
      <c r="I73" s="522"/>
      <c r="J73" s="522"/>
      <c r="K73" s="522"/>
      <c r="L73" s="522"/>
      <c r="M73" s="522"/>
      <c r="N73" s="522"/>
      <c r="O73" s="523"/>
    </row>
    <row r="74" spans="1:15" ht="18.75" customHeight="1" thickBot="1">
      <c r="A74" s="521"/>
      <c r="B74" s="522"/>
      <c r="C74" s="522"/>
      <c r="D74" s="522"/>
      <c r="E74" s="522"/>
      <c r="F74" s="522"/>
      <c r="G74" s="522"/>
      <c r="H74" s="522"/>
      <c r="I74" s="522"/>
      <c r="J74" s="522"/>
      <c r="K74" s="522"/>
      <c r="L74" s="522"/>
      <c r="M74" s="522"/>
      <c r="N74" s="522"/>
      <c r="O74" s="523"/>
    </row>
    <row r="75" spans="1:15" ht="18.75" customHeight="1" thickBot="1">
      <c r="A75" s="521"/>
      <c r="B75" s="522"/>
      <c r="C75" s="522"/>
      <c r="D75" s="522"/>
      <c r="E75" s="522"/>
      <c r="F75" s="522"/>
      <c r="G75" s="522"/>
      <c r="H75" s="522"/>
      <c r="I75" s="522"/>
      <c r="J75" s="522"/>
      <c r="K75" s="522"/>
      <c r="L75" s="522"/>
      <c r="M75" s="522"/>
      <c r="N75" s="522"/>
      <c r="O75" s="523"/>
    </row>
    <row r="76" spans="1:15" ht="18.75" customHeight="1" thickBot="1">
      <c r="A76" s="521"/>
      <c r="B76" s="522"/>
      <c r="C76" s="522"/>
      <c r="D76" s="522"/>
      <c r="E76" s="522"/>
      <c r="F76" s="522"/>
      <c r="G76" s="522"/>
      <c r="H76" s="522"/>
      <c r="I76" s="522"/>
      <c r="J76" s="522"/>
      <c r="K76" s="522"/>
      <c r="L76" s="522"/>
      <c r="M76" s="522"/>
      <c r="N76" s="522"/>
      <c r="O76" s="523"/>
    </row>
    <row r="77" spans="1:15" ht="18.75" customHeight="1" thickBot="1">
      <c r="A77" s="521"/>
      <c r="B77" s="522"/>
      <c r="C77" s="522"/>
      <c r="D77" s="522"/>
      <c r="E77" s="522"/>
      <c r="F77" s="522"/>
      <c r="G77" s="522"/>
      <c r="H77" s="522"/>
      <c r="I77" s="522"/>
      <c r="J77" s="522"/>
      <c r="K77" s="522"/>
      <c r="L77" s="522"/>
      <c r="M77" s="522"/>
      <c r="N77" s="522"/>
      <c r="O77" s="523"/>
    </row>
    <row r="78" spans="1:15">
      <c r="A78" s="143"/>
      <c r="B78" s="143"/>
    </row>
    <row r="79" spans="1:15" ht="19.5" thickBot="1">
      <c r="A79" s="480" t="s">
        <v>200</v>
      </c>
      <c r="B79" s="524"/>
      <c r="C79" s="323"/>
      <c r="D79" s="323"/>
      <c r="E79" s="323"/>
      <c r="F79" s="323"/>
      <c r="G79" s="323"/>
      <c r="H79" s="323"/>
      <c r="I79" s="323"/>
      <c r="J79" s="323"/>
      <c r="K79" s="323"/>
      <c r="L79" s="323"/>
      <c r="M79" s="323"/>
      <c r="N79" s="323"/>
      <c r="O79" s="323"/>
    </row>
    <row r="80" spans="1:15" ht="27.4" customHeight="1" thickBot="1">
      <c r="A80" s="510" t="s">
        <v>236</v>
      </c>
      <c r="B80" s="511"/>
      <c r="C80" s="511"/>
      <c r="D80" s="511"/>
      <c r="E80" s="511"/>
      <c r="F80" s="511"/>
      <c r="G80" s="183">
        <f>分銅情報入力シート!L5</f>
        <v>0</v>
      </c>
      <c r="H80" s="180"/>
      <c r="I80" s="180"/>
      <c r="J80" s="180"/>
      <c r="K80" s="180" t="s">
        <v>16</v>
      </c>
      <c r="L80" s="180"/>
      <c r="M80" s="180"/>
      <c r="N80" s="180"/>
      <c r="O80" s="181"/>
    </row>
    <row r="81" spans="1:15">
      <c r="A81" s="144"/>
      <c r="B81" s="144"/>
    </row>
    <row r="82" spans="1:15" ht="19.5" thickBot="1">
      <c r="A82" s="144"/>
      <c r="B82" s="144"/>
    </row>
    <row r="83" spans="1:15" ht="19.350000000000001" customHeight="1">
      <c r="A83" s="504" t="s">
        <v>201</v>
      </c>
      <c r="B83" s="504"/>
      <c r="C83" s="504"/>
      <c r="D83" s="504"/>
      <c r="E83" s="505"/>
      <c r="F83" s="505"/>
      <c r="G83" s="505"/>
      <c r="H83" s="505"/>
      <c r="I83" s="505"/>
      <c r="J83" s="505"/>
      <c r="K83" s="505"/>
      <c r="L83" s="505"/>
      <c r="M83" s="505"/>
      <c r="N83" s="505"/>
      <c r="O83" s="505"/>
    </row>
    <row r="84" spans="1:15" ht="19.350000000000001" customHeight="1" thickBot="1">
      <c r="A84" s="507" t="s">
        <v>202</v>
      </c>
      <c r="B84" s="507"/>
      <c r="C84" s="507"/>
      <c r="D84" s="507"/>
      <c r="E84" s="506"/>
      <c r="F84" s="506"/>
      <c r="G84" s="506"/>
      <c r="H84" s="506"/>
      <c r="I84" s="506"/>
      <c r="J84" s="506"/>
      <c r="K84" s="506"/>
      <c r="L84" s="506"/>
      <c r="M84" s="506"/>
      <c r="N84" s="506"/>
      <c r="O84" s="506"/>
    </row>
    <row r="85" spans="1:15">
      <c r="A85" s="144"/>
      <c r="B85" s="144"/>
    </row>
    <row r="86" spans="1:15">
      <c r="A86" s="145"/>
      <c r="B86" s="145"/>
    </row>
  </sheetData>
  <sheetProtection algorithmName="SHA-512" hashValue="luQdKCrq4GIT+KuddDsk3chd84ogKSxV3zdBmkpXBDIlSmu7Q9+21q4CZRF0h2II8Y8P7L0qzqX637wCccCJbA==" saltValue="7ZXg09lt9OlCHneJbpwxyw==" spinCount="100000" sheet="1" objects="1" scenarios="1" selectLockedCells="1"/>
  <mergeCells count="149">
    <mergeCell ref="A83:D83"/>
    <mergeCell ref="E83:O84"/>
    <mergeCell ref="A84:D84"/>
    <mergeCell ref="A57:O57"/>
    <mergeCell ref="A58:O68"/>
    <mergeCell ref="A70:F70"/>
    <mergeCell ref="A71:O77"/>
    <mergeCell ref="A79:O79"/>
    <mergeCell ref="A80:F80"/>
    <mergeCell ref="A49:O49"/>
    <mergeCell ref="A51:O51"/>
    <mergeCell ref="A52:O52"/>
    <mergeCell ref="B53:O53"/>
    <mergeCell ref="B54:O54"/>
    <mergeCell ref="B55:O55"/>
    <mergeCell ref="H45:K45"/>
    <mergeCell ref="M45:O47"/>
    <mergeCell ref="H46:K46"/>
    <mergeCell ref="H47:K47"/>
    <mergeCell ref="B48:C48"/>
    <mergeCell ref="E48:F48"/>
    <mergeCell ref="H48:K48"/>
    <mergeCell ref="M48:O48"/>
    <mergeCell ref="A44:A48"/>
    <mergeCell ref="B44:C44"/>
    <mergeCell ref="E44:F44"/>
    <mergeCell ref="H44:K44"/>
    <mergeCell ref="M44:O44"/>
    <mergeCell ref="B45:C47"/>
    <mergeCell ref="D45:D47"/>
    <mergeCell ref="E45:F47"/>
    <mergeCell ref="G45:G47"/>
    <mergeCell ref="B36:C36"/>
    <mergeCell ref="I36:J36"/>
    <mergeCell ref="K36:L36"/>
    <mergeCell ref="A38:A42"/>
    <mergeCell ref="B38:C38"/>
    <mergeCell ref="D38:E38"/>
    <mergeCell ref="I38:O38"/>
    <mergeCell ref="B39:C39"/>
    <mergeCell ref="D39:E39"/>
    <mergeCell ref="F39:F42"/>
    <mergeCell ref="D42:E42"/>
    <mergeCell ref="G39:G42"/>
    <mergeCell ref="I39:I40"/>
    <mergeCell ref="J39:O40"/>
    <mergeCell ref="B40:C40"/>
    <mergeCell ref="D40:E40"/>
    <mergeCell ref="B41:C41"/>
    <mergeCell ref="D41:E41"/>
    <mergeCell ref="I41:I42"/>
    <mergeCell ref="J41:O42"/>
    <mergeCell ref="B42:C42"/>
    <mergeCell ref="B34:C34"/>
    <mergeCell ref="I34:J34"/>
    <mergeCell ref="K34:L34"/>
    <mergeCell ref="B35:C35"/>
    <mergeCell ref="I35:J35"/>
    <mergeCell ref="K35:L35"/>
    <mergeCell ref="B32:C32"/>
    <mergeCell ref="I32:J32"/>
    <mergeCell ref="K32:L32"/>
    <mergeCell ref="B33:C33"/>
    <mergeCell ref="I33:J33"/>
    <mergeCell ref="K33:L33"/>
    <mergeCell ref="B30:C30"/>
    <mergeCell ref="I30:J30"/>
    <mergeCell ref="K30:L30"/>
    <mergeCell ref="B31:C31"/>
    <mergeCell ref="I31:J31"/>
    <mergeCell ref="K31:L31"/>
    <mergeCell ref="B28:C28"/>
    <mergeCell ref="I28:J28"/>
    <mergeCell ref="K28:L28"/>
    <mergeCell ref="B29:C29"/>
    <mergeCell ref="I29:J29"/>
    <mergeCell ref="K29:L29"/>
    <mergeCell ref="B26:C26"/>
    <mergeCell ref="I26:J26"/>
    <mergeCell ref="K26:L26"/>
    <mergeCell ref="B27:C27"/>
    <mergeCell ref="I27:J27"/>
    <mergeCell ref="K27:L27"/>
    <mergeCell ref="B24:C24"/>
    <mergeCell ref="I24:J24"/>
    <mergeCell ref="K24:L24"/>
    <mergeCell ref="B25:C25"/>
    <mergeCell ref="I25:J25"/>
    <mergeCell ref="K25:L25"/>
    <mergeCell ref="B22:C22"/>
    <mergeCell ref="I22:J22"/>
    <mergeCell ref="K22:L22"/>
    <mergeCell ref="B23:C23"/>
    <mergeCell ref="I23:J23"/>
    <mergeCell ref="K23:L23"/>
    <mergeCell ref="B20:C20"/>
    <mergeCell ref="I20:J20"/>
    <mergeCell ref="K20:L20"/>
    <mergeCell ref="B21:C21"/>
    <mergeCell ref="I21:J21"/>
    <mergeCell ref="K21:L21"/>
    <mergeCell ref="B18:C18"/>
    <mergeCell ref="I18:J18"/>
    <mergeCell ref="K18:L18"/>
    <mergeCell ref="B19:C19"/>
    <mergeCell ref="I19:J19"/>
    <mergeCell ref="K19:L19"/>
    <mergeCell ref="B16:C16"/>
    <mergeCell ref="I16:J16"/>
    <mergeCell ref="K16:L16"/>
    <mergeCell ref="B17:C17"/>
    <mergeCell ref="I17:J17"/>
    <mergeCell ref="K17:L17"/>
    <mergeCell ref="B14:C14"/>
    <mergeCell ref="I14:J14"/>
    <mergeCell ref="K14:L14"/>
    <mergeCell ref="B15:C15"/>
    <mergeCell ref="I15:J15"/>
    <mergeCell ref="K15:L15"/>
    <mergeCell ref="B12:C12"/>
    <mergeCell ref="I12:J12"/>
    <mergeCell ref="K12:L12"/>
    <mergeCell ref="B13:C13"/>
    <mergeCell ref="I13:J13"/>
    <mergeCell ref="K13:L13"/>
    <mergeCell ref="B11:C11"/>
    <mergeCell ref="I11:J11"/>
    <mergeCell ref="K11:L11"/>
    <mergeCell ref="A5:C5"/>
    <mergeCell ref="D5:G5"/>
    <mergeCell ref="H5:J5"/>
    <mergeCell ref="K5:O5"/>
    <mergeCell ref="A6:C6"/>
    <mergeCell ref="D6:G6"/>
    <mergeCell ref="H6:J6"/>
    <mergeCell ref="K6:O7"/>
    <mergeCell ref="A7:C7"/>
    <mergeCell ref="D7:G7"/>
    <mergeCell ref="A1:B1"/>
    <mergeCell ref="A2:O2"/>
    <mergeCell ref="A4:C4"/>
    <mergeCell ref="D4:G4"/>
    <mergeCell ref="H4:J4"/>
    <mergeCell ref="K4:O4"/>
    <mergeCell ref="H7:J7"/>
    <mergeCell ref="A8:C8"/>
    <mergeCell ref="D8:G8"/>
    <mergeCell ref="H8:J8"/>
    <mergeCell ref="L8:O8"/>
  </mergeCells>
  <phoneticPr fontId="1"/>
  <printOptions horizontalCentered="1"/>
  <pageMargins left="0.74803149606299213" right="0.74803149606299213" top="0.98425196850393704" bottom="0.98425196850393704" header="0.51181102362204722" footer="0.51181102362204722"/>
  <pageSetup paperSize="9" scale="85" orientation="portrait" r:id="rId1"/>
  <rowBreaks count="1" manualBreakCount="1">
    <brk id="4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99FF"/>
  </sheetPr>
  <dimension ref="B1:AQ26"/>
  <sheetViews>
    <sheetView workbookViewId="0">
      <selection activeCell="E2" sqref="E2:F2"/>
    </sheetView>
  </sheetViews>
  <sheetFormatPr defaultRowHeight="18.75"/>
  <cols>
    <col min="1" max="4" width="9" customWidth="1"/>
  </cols>
  <sheetData>
    <row r="1" spans="2:43" ht="19.5" thickBot="1"/>
    <row r="2" spans="2:43" ht="18.75" customHeight="1">
      <c r="B2" s="284" t="s">
        <v>134</v>
      </c>
      <c r="C2" s="290" t="s">
        <v>96</v>
      </c>
      <c r="D2" s="290"/>
      <c r="E2" s="292"/>
      <c r="F2" s="293"/>
      <c r="H2" s="284" t="s">
        <v>124</v>
      </c>
      <c r="I2" s="290" t="s">
        <v>133</v>
      </c>
      <c r="J2" s="290"/>
      <c r="K2" s="235"/>
      <c r="L2" s="239"/>
      <c r="M2" s="200"/>
    </row>
    <row r="3" spans="2:43" ht="18.75" customHeight="1">
      <c r="B3" s="285"/>
      <c r="C3" s="291" t="s">
        <v>1</v>
      </c>
      <c r="D3" s="291"/>
      <c r="E3" s="288"/>
      <c r="F3" s="289"/>
      <c r="H3" s="285"/>
      <c r="I3" s="287" t="s">
        <v>135</v>
      </c>
      <c r="J3" s="287"/>
      <c r="K3" s="287"/>
      <c r="L3" s="234"/>
      <c r="M3" s="201" t="s">
        <v>239</v>
      </c>
    </row>
    <row r="4" spans="2:43" ht="18.75" customHeight="1">
      <c r="B4" s="285"/>
      <c r="C4" s="291" t="s">
        <v>132</v>
      </c>
      <c r="D4" s="291"/>
      <c r="E4" s="288"/>
      <c r="F4" s="289"/>
      <c r="H4" s="285"/>
      <c r="I4" s="287" t="s">
        <v>237</v>
      </c>
      <c r="J4" s="287"/>
      <c r="K4" s="287"/>
      <c r="L4" s="234"/>
      <c r="M4" s="201"/>
    </row>
    <row r="5" spans="2:43" ht="18.75" customHeight="1" thickBot="1">
      <c r="B5" s="286"/>
      <c r="C5" s="296" t="s">
        <v>146</v>
      </c>
      <c r="D5" s="296"/>
      <c r="E5" s="294"/>
      <c r="F5" s="295"/>
      <c r="H5" s="285"/>
      <c r="I5" s="287" t="s">
        <v>238</v>
      </c>
      <c r="J5" s="287"/>
      <c r="K5" s="287"/>
      <c r="L5" s="234"/>
      <c r="M5" s="201"/>
    </row>
    <row r="6" spans="2:43" ht="18.75" customHeight="1" thickBot="1">
      <c r="H6" s="286"/>
      <c r="I6" s="281" t="s">
        <v>380</v>
      </c>
      <c r="J6" s="281"/>
      <c r="K6" s="281"/>
      <c r="L6" s="282"/>
      <c r="M6" s="283"/>
      <c r="N6" t="s">
        <v>381</v>
      </c>
    </row>
    <row r="7" spans="2:43" ht="18.75" customHeight="1"/>
    <row r="8" spans="2:43" ht="18.75" customHeight="1"/>
    <row r="9" spans="2:43" ht="19.5" thickBot="1">
      <c r="B9" s="244" t="s">
        <v>389</v>
      </c>
    </row>
    <row r="10" spans="2:43">
      <c r="B10" s="62" t="s">
        <v>0</v>
      </c>
      <c r="C10" s="63" t="s">
        <v>5</v>
      </c>
      <c r="D10" s="63" t="s">
        <v>8</v>
      </c>
      <c r="E10" s="63" t="s">
        <v>6</v>
      </c>
      <c r="F10" s="65" t="s">
        <v>7</v>
      </c>
      <c r="G10" s="64" t="s">
        <v>140</v>
      </c>
      <c r="H10" s="62" t="s">
        <v>0</v>
      </c>
      <c r="I10" s="63" t="s">
        <v>5</v>
      </c>
      <c r="J10" s="63" t="s">
        <v>8</v>
      </c>
      <c r="K10" s="63" t="s">
        <v>6</v>
      </c>
      <c r="L10" s="65" t="s">
        <v>7</v>
      </c>
      <c r="M10" s="64" t="s">
        <v>140</v>
      </c>
      <c r="N10" s="62" t="s">
        <v>0</v>
      </c>
      <c r="O10" s="63" t="s">
        <v>5</v>
      </c>
      <c r="P10" s="63" t="s">
        <v>8</v>
      </c>
      <c r="Q10" s="63" t="s">
        <v>6</v>
      </c>
      <c r="R10" s="65" t="s">
        <v>7</v>
      </c>
      <c r="S10" s="64" t="s">
        <v>140</v>
      </c>
      <c r="T10" s="66" t="s">
        <v>0</v>
      </c>
      <c r="U10" s="63" t="s">
        <v>5</v>
      </c>
      <c r="V10" s="63" t="s">
        <v>8</v>
      </c>
      <c r="W10" s="63" t="s">
        <v>6</v>
      </c>
      <c r="X10" s="63" t="s">
        <v>7</v>
      </c>
      <c r="Y10" s="97" t="s">
        <v>140</v>
      </c>
      <c r="Z10" s="66" t="s">
        <v>0</v>
      </c>
      <c r="AA10" s="63" t="s">
        <v>5</v>
      </c>
      <c r="AB10" s="63" t="s">
        <v>8</v>
      </c>
      <c r="AC10" s="63" t="s">
        <v>6</v>
      </c>
      <c r="AD10" s="63" t="s">
        <v>7</v>
      </c>
      <c r="AE10" s="97" t="s">
        <v>140</v>
      </c>
      <c r="AF10" s="66" t="s">
        <v>0</v>
      </c>
      <c r="AG10" s="63" t="s">
        <v>5</v>
      </c>
      <c r="AH10" s="63" t="s">
        <v>8</v>
      </c>
      <c r="AI10" s="63" t="s">
        <v>6</v>
      </c>
      <c r="AJ10" s="63" t="s">
        <v>7</v>
      </c>
      <c r="AK10" s="97" t="s">
        <v>140</v>
      </c>
      <c r="AL10" s="66" t="s">
        <v>0</v>
      </c>
      <c r="AM10" s="63" t="s">
        <v>5</v>
      </c>
      <c r="AN10" s="63" t="s">
        <v>8</v>
      </c>
      <c r="AO10" s="63" t="s">
        <v>6</v>
      </c>
      <c r="AP10" s="63" t="s">
        <v>7</v>
      </c>
      <c r="AQ10" s="97" t="s">
        <v>140</v>
      </c>
    </row>
    <row r="11" spans="2:43">
      <c r="B11" s="240">
        <v>1</v>
      </c>
      <c r="C11" s="67"/>
      <c r="D11" s="103"/>
      <c r="E11" s="67"/>
      <c r="F11" s="104"/>
      <c r="G11" s="105"/>
      <c r="H11" s="240">
        <v>16</v>
      </c>
      <c r="I11" s="67"/>
      <c r="J11" s="103"/>
      <c r="K11" s="67"/>
      <c r="L11" s="103"/>
      <c r="M11" s="105"/>
      <c r="N11" s="240">
        <v>31</v>
      </c>
      <c r="O11" s="67"/>
      <c r="P11" s="67" t="s">
        <v>25</v>
      </c>
      <c r="Q11" s="67"/>
      <c r="R11" s="103"/>
      <c r="S11" s="105"/>
      <c r="T11" s="241">
        <v>46</v>
      </c>
      <c r="U11" s="67"/>
      <c r="V11" s="67" t="s">
        <v>25</v>
      </c>
      <c r="W11" s="67"/>
      <c r="X11" s="67"/>
      <c r="Y11" s="105"/>
      <c r="Z11" s="241">
        <v>61</v>
      </c>
      <c r="AA11" s="67"/>
      <c r="AB11" s="67" t="s">
        <v>25</v>
      </c>
      <c r="AC11" s="67"/>
      <c r="AD11" s="67"/>
      <c r="AE11" s="105"/>
      <c r="AF11" s="241">
        <v>76</v>
      </c>
      <c r="AG11" s="67"/>
      <c r="AH11" s="67" t="s">
        <v>25</v>
      </c>
      <c r="AI11" s="67"/>
      <c r="AJ11" s="67"/>
      <c r="AK11" s="105"/>
      <c r="AL11" s="241">
        <v>91</v>
      </c>
      <c r="AM11" s="67"/>
      <c r="AN11" s="67" t="s">
        <v>25</v>
      </c>
      <c r="AO11" s="67"/>
      <c r="AP11" s="67"/>
      <c r="AQ11" s="105"/>
    </row>
    <row r="12" spans="2:43">
      <c r="B12" s="240">
        <v>2</v>
      </c>
      <c r="C12" s="67"/>
      <c r="D12" s="103"/>
      <c r="E12" s="67"/>
      <c r="F12" s="103"/>
      <c r="G12" s="105"/>
      <c r="H12" s="240">
        <v>17</v>
      </c>
      <c r="I12" s="67"/>
      <c r="J12" s="103"/>
      <c r="K12" s="67"/>
      <c r="L12" s="103"/>
      <c r="M12" s="105"/>
      <c r="N12" s="240">
        <v>32</v>
      </c>
      <c r="O12" s="67"/>
      <c r="P12" s="67" t="s">
        <v>25</v>
      </c>
      <c r="Q12" s="67"/>
      <c r="R12" s="103"/>
      <c r="S12" s="105"/>
      <c r="T12" s="241">
        <v>47</v>
      </c>
      <c r="U12" s="67"/>
      <c r="V12" s="67" t="s">
        <v>25</v>
      </c>
      <c r="W12" s="67"/>
      <c r="X12" s="67"/>
      <c r="Y12" s="105"/>
      <c r="Z12" s="241">
        <v>62</v>
      </c>
      <c r="AA12" s="67"/>
      <c r="AB12" s="67" t="s">
        <v>25</v>
      </c>
      <c r="AC12" s="67"/>
      <c r="AD12" s="67"/>
      <c r="AE12" s="105"/>
      <c r="AF12" s="241">
        <v>77</v>
      </c>
      <c r="AG12" s="67"/>
      <c r="AH12" s="67" t="s">
        <v>25</v>
      </c>
      <c r="AI12" s="67"/>
      <c r="AJ12" s="67"/>
      <c r="AK12" s="105"/>
      <c r="AL12" s="241">
        <v>92</v>
      </c>
      <c r="AM12" s="67"/>
      <c r="AN12" s="67" t="s">
        <v>25</v>
      </c>
      <c r="AO12" s="67"/>
      <c r="AP12" s="67"/>
      <c r="AQ12" s="105"/>
    </row>
    <row r="13" spans="2:43">
      <c r="B13" s="240">
        <v>3</v>
      </c>
      <c r="C13" s="67"/>
      <c r="D13" s="103"/>
      <c r="E13" s="67"/>
      <c r="F13" s="103"/>
      <c r="G13" s="105"/>
      <c r="H13" s="240">
        <v>18</v>
      </c>
      <c r="I13" s="67"/>
      <c r="J13" s="103"/>
      <c r="K13" s="67"/>
      <c r="L13" s="103"/>
      <c r="M13" s="105"/>
      <c r="N13" s="240">
        <v>33</v>
      </c>
      <c r="O13" s="67"/>
      <c r="P13" s="67" t="s">
        <v>25</v>
      </c>
      <c r="Q13" s="67"/>
      <c r="R13" s="103"/>
      <c r="S13" s="105"/>
      <c r="T13" s="241">
        <v>48</v>
      </c>
      <c r="U13" s="67"/>
      <c r="V13" s="67" t="s">
        <v>25</v>
      </c>
      <c r="W13" s="67"/>
      <c r="X13" s="67"/>
      <c r="Y13" s="105"/>
      <c r="Z13" s="241">
        <v>63</v>
      </c>
      <c r="AA13" s="67"/>
      <c r="AB13" s="67" t="s">
        <v>25</v>
      </c>
      <c r="AC13" s="67"/>
      <c r="AD13" s="67"/>
      <c r="AE13" s="105"/>
      <c r="AF13" s="241">
        <v>78</v>
      </c>
      <c r="AG13" s="67"/>
      <c r="AH13" s="67" t="s">
        <v>25</v>
      </c>
      <c r="AI13" s="67"/>
      <c r="AJ13" s="67"/>
      <c r="AK13" s="105"/>
      <c r="AL13" s="241">
        <v>93</v>
      </c>
      <c r="AM13" s="67"/>
      <c r="AN13" s="67" t="s">
        <v>25</v>
      </c>
      <c r="AO13" s="67"/>
      <c r="AP13" s="67"/>
      <c r="AQ13" s="105"/>
    </row>
    <row r="14" spans="2:43">
      <c r="B14" s="240">
        <v>4</v>
      </c>
      <c r="C14" s="67"/>
      <c r="D14" s="103"/>
      <c r="E14" s="67"/>
      <c r="F14" s="103"/>
      <c r="G14" s="105"/>
      <c r="H14" s="240">
        <v>19</v>
      </c>
      <c r="I14" s="67"/>
      <c r="J14" s="103"/>
      <c r="K14" s="67"/>
      <c r="L14" s="103"/>
      <c r="M14" s="105"/>
      <c r="N14" s="240">
        <v>34</v>
      </c>
      <c r="O14" s="67"/>
      <c r="P14" s="67" t="s">
        <v>25</v>
      </c>
      <c r="Q14" s="67"/>
      <c r="R14" s="103"/>
      <c r="S14" s="105"/>
      <c r="T14" s="241">
        <v>49</v>
      </c>
      <c r="U14" s="67"/>
      <c r="V14" s="67" t="s">
        <v>25</v>
      </c>
      <c r="W14" s="67"/>
      <c r="X14" s="67"/>
      <c r="Y14" s="105"/>
      <c r="Z14" s="241">
        <v>64</v>
      </c>
      <c r="AA14" s="67"/>
      <c r="AB14" s="67" t="s">
        <v>25</v>
      </c>
      <c r="AC14" s="67"/>
      <c r="AD14" s="67"/>
      <c r="AE14" s="105"/>
      <c r="AF14" s="241">
        <v>79</v>
      </c>
      <c r="AG14" s="67"/>
      <c r="AH14" s="67" t="s">
        <v>25</v>
      </c>
      <c r="AI14" s="67"/>
      <c r="AJ14" s="67"/>
      <c r="AK14" s="105"/>
      <c r="AL14" s="241">
        <v>94</v>
      </c>
      <c r="AM14" s="67"/>
      <c r="AN14" s="67" t="s">
        <v>25</v>
      </c>
      <c r="AO14" s="67"/>
      <c r="AP14" s="67"/>
      <c r="AQ14" s="105"/>
    </row>
    <row r="15" spans="2:43">
      <c r="B15" s="240">
        <v>5</v>
      </c>
      <c r="C15" s="67"/>
      <c r="D15" s="103"/>
      <c r="E15" s="67"/>
      <c r="F15" s="103"/>
      <c r="G15" s="105"/>
      <c r="H15" s="240">
        <v>20</v>
      </c>
      <c r="I15" s="67"/>
      <c r="J15" s="103"/>
      <c r="K15" s="67"/>
      <c r="L15" s="103"/>
      <c r="M15" s="105"/>
      <c r="N15" s="240">
        <v>35</v>
      </c>
      <c r="O15" s="67"/>
      <c r="P15" s="67" t="s">
        <v>25</v>
      </c>
      <c r="Q15" s="67"/>
      <c r="R15" s="103"/>
      <c r="S15" s="105"/>
      <c r="T15" s="241">
        <v>50</v>
      </c>
      <c r="U15" s="67"/>
      <c r="V15" s="67" t="s">
        <v>25</v>
      </c>
      <c r="W15" s="67"/>
      <c r="X15" s="67"/>
      <c r="Y15" s="105"/>
      <c r="Z15" s="241">
        <v>65</v>
      </c>
      <c r="AA15" s="67"/>
      <c r="AB15" s="67" t="s">
        <v>25</v>
      </c>
      <c r="AC15" s="67"/>
      <c r="AD15" s="67"/>
      <c r="AE15" s="105"/>
      <c r="AF15" s="241">
        <v>80</v>
      </c>
      <c r="AG15" s="67"/>
      <c r="AH15" s="67" t="s">
        <v>25</v>
      </c>
      <c r="AI15" s="67"/>
      <c r="AJ15" s="67"/>
      <c r="AK15" s="105"/>
      <c r="AL15" s="241">
        <v>95</v>
      </c>
      <c r="AM15" s="67"/>
      <c r="AN15" s="67" t="s">
        <v>25</v>
      </c>
      <c r="AO15" s="67"/>
      <c r="AP15" s="67"/>
      <c r="AQ15" s="105"/>
    </row>
    <row r="16" spans="2:43">
      <c r="B16" s="240">
        <v>6</v>
      </c>
      <c r="C16" s="67"/>
      <c r="D16" s="103"/>
      <c r="E16" s="67"/>
      <c r="F16" s="103"/>
      <c r="G16" s="105"/>
      <c r="H16" s="240">
        <v>21</v>
      </c>
      <c r="I16" s="67"/>
      <c r="J16" s="103"/>
      <c r="K16" s="67"/>
      <c r="L16" s="103"/>
      <c r="M16" s="105"/>
      <c r="N16" s="240">
        <v>36</v>
      </c>
      <c r="O16" s="67"/>
      <c r="P16" s="67" t="s">
        <v>25</v>
      </c>
      <c r="Q16" s="67"/>
      <c r="R16" s="103"/>
      <c r="S16" s="105"/>
      <c r="T16" s="241">
        <v>51</v>
      </c>
      <c r="U16" s="67"/>
      <c r="V16" s="67" t="s">
        <v>25</v>
      </c>
      <c r="W16" s="67"/>
      <c r="X16" s="67"/>
      <c r="Y16" s="105"/>
      <c r="Z16" s="241">
        <v>66</v>
      </c>
      <c r="AA16" s="67"/>
      <c r="AB16" s="67" t="s">
        <v>25</v>
      </c>
      <c r="AC16" s="67"/>
      <c r="AD16" s="67"/>
      <c r="AE16" s="105"/>
      <c r="AF16" s="241">
        <v>81</v>
      </c>
      <c r="AG16" s="67"/>
      <c r="AH16" s="67" t="s">
        <v>25</v>
      </c>
      <c r="AI16" s="67"/>
      <c r="AJ16" s="67"/>
      <c r="AK16" s="105"/>
      <c r="AL16" s="241">
        <v>96</v>
      </c>
      <c r="AM16" s="67"/>
      <c r="AN16" s="67" t="s">
        <v>25</v>
      </c>
      <c r="AO16" s="67"/>
      <c r="AP16" s="67"/>
      <c r="AQ16" s="105"/>
    </row>
    <row r="17" spans="2:43">
      <c r="B17" s="240">
        <v>7</v>
      </c>
      <c r="C17" s="67"/>
      <c r="D17" s="103"/>
      <c r="E17" s="67"/>
      <c r="F17" s="103"/>
      <c r="G17" s="105"/>
      <c r="H17" s="240">
        <v>22</v>
      </c>
      <c r="I17" s="67"/>
      <c r="J17" s="103"/>
      <c r="K17" s="67"/>
      <c r="L17" s="103"/>
      <c r="M17" s="105"/>
      <c r="N17" s="240">
        <v>37</v>
      </c>
      <c r="O17" s="67"/>
      <c r="P17" s="67" t="s">
        <v>25</v>
      </c>
      <c r="Q17" s="67"/>
      <c r="R17" s="103"/>
      <c r="S17" s="105"/>
      <c r="T17" s="241">
        <v>52</v>
      </c>
      <c r="U17" s="67"/>
      <c r="V17" s="67" t="s">
        <v>25</v>
      </c>
      <c r="W17" s="67"/>
      <c r="X17" s="67"/>
      <c r="Y17" s="105"/>
      <c r="Z17" s="241">
        <v>67</v>
      </c>
      <c r="AA17" s="67"/>
      <c r="AB17" s="67" t="s">
        <v>25</v>
      </c>
      <c r="AC17" s="67"/>
      <c r="AD17" s="67"/>
      <c r="AE17" s="105"/>
      <c r="AF17" s="241">
        <v>82</v>
      </c>
      <c r="AG17" s="67"/>
      <c r="AH17" s="67" t="s">
        <v>25</v>
      </c>
      <c r="AI17" s="67"/>
      <c r="AJ17" s="67"/>
      <c r="AK17" s="105"/>
      <c r="AL17" s="241">
        <v>97</v>
      </c>
      <c r="AM17" s="67"/>
      <c r="AN17" s="67" t="s">
        <v>25</v>
      </c>
      <c r="AO17" s="67"/>
      <c r="AP17" s="67"/>
      <c r="AQ17" s="105"/>
    </row>
    <row r="18" spans="2:43">
      <c r="B18" s="240">
        <v>8</v>
      </c>
      <c r="C18" s="67"/>
      <c r="D18" s="103"/>
      <c r="E18" s="67"/>
      <c r="F18" s="103"/>
      <c r="G18" s="105"/>
      <c r="H18" s="240">
        <v>23</v>
      </c>
      <c r="I18" s="67"/>
      <c r="J18" s="67"/>
      <c r="K18" s="67"/>
      <c r="L18" s="103"/>
      <c r="M18" s="105"/>
      <c r="N18" s="240">
        <v>38</v>
      </c>
      <c r="O18" s="67"/>
      <c r="P18" s="67" t="s">
        <v>25</v>
      </c>
      <c r="Q18" s="67"/>
      <c r="R18" s="103"/>
      <c r="S18" s="105"/>
      <c r="T18" s="241">
        <v>53</v>
      </c>
      <c r="U18" s="67"/>
      <c r="V18" s="67" t="s">
        <v>25</v>
      </c>
      <c r="W18" s="67"/>
      <c r="X18" s="67"/>
      <c r="Y18" s="105"/>
      <c r="Z18" s="241">
        <v>68</v>
      </c>
      <c r="AA18" s="67"/>
      <c r="AB18" s="67" t="s">
        <v>25</v>
      </c>
      <c r="AC18" s="67"/>
      <c r="AD18" s="67"/>
      <c r="AE18" s="105"/>
      <c r="AF18" s="241">
        <v>83</v>
      </c>
      <c r="AG18" s="67"/>
      <c r="AH18" s="67" t="s">
        <v>25</v>
      </c>
      <c r="AI18" s="67"/>
      <c r="AJ18" s="67"/>
      <c r="AK18" s="105"/>
      <c r="AL18" s="241">
        <v>98</v>
      </c>
      <c r="AM18" s="67"/>
      <c r="AN18" s="67" t="s">
        <v>25</v>
      </c>
      <c r="AO18" s="67"/>
      <c r="AP18" s="67"/>
      <c r="AQ18" s="105"/>
    </row>
    <row r="19" spans="2:43">
      <c r="B19" s="240">
        <v>9</v>
      </c>
      <c r="C19" s="67"/>
      <c r="D19" s="103"/>
      <c r="E19" s="67"/>
      <c r="F19" s="103"/>
      <c r="G19" s="105"/>
      <c r="H19" s="240">
        <v>24</v>
      </c>
      <c r="I19" s="67"/>
      <c r="J19" s="67"/>
      <c r="K19" s="67"/>
      <c r="L19" s="103"/>
      <c r="M19" s="105"/>
      <c r="N19" s="240">
        <v>39</v>
      </c>
      <c r="O19" s="67"/>
      <c r="P19" s="67" t="s">
        <v>25</v>
      </c>
      <c r="Q19" s="67"/>
      <c r="R19" s="103"/>
      <c r="S19" s="105"/>
      <c r="T19" s="241">
        <v>54</v>
      </c>
      <c r="U19" s="67"/>
      <c r="V19" s="67" t="s">
        <v>25</v>
      </c>
      <c r="W19" s="67"/>
      <c r="X19" s="67"/>
      <c r="Y19" s="105"/>
      <c r="Z19" s="241">
        <v>69</v>
      </c>
      <c r="AA19" s="67"/>
      <c r="AB19" s="67" t="s">
        <v>25</v>
      </c>
      <c r="AC19" s="67"/>
      <c r="AD19" s="67"/>
      <c r="AE19" s="105"/>
      <c r="AF19" s="241">
        <v>84</v>
      </c>
      <c r="AG19" s="67"/>
      <c r="AH19" s="67" t="s">
        <v>25</v>
      </c>
      <c r="AI19" s="67"/>
      <c r="AJ19" s="67"/>
      <c r="AK19" s="105"/>
      <c r="AL19" s="241">
        <v>99</v>
      </c>
      <c r="AM19" s="67"/>
      <c r="AN19" s="67"/>
      <c r="AO19" s="67"/>
      <c r="AP19" s="67"/>
      <c r="AQ19" s="105"/>
    </row>
    <row r="20" spans="2:43">
      <c r="B20" s="240">
        <v>10</v>
      </c>
      <c r="C20" s="67"/>
      <c r="D20" s="103"/>
      <c r="E20" s="67"/>
      <c r="F20" s="103"/>
      <c r="G20" s="105"/>
      <c r="H20" s="240">
        <v>25</v>
      </c>
      <c r="I20" s="67"/>
      <c r="J20" s="67"/>
      <c r="K20" s="67"/>
      <c r="L20" s="103"/>
      <c r="M20" s="105"/>
      <c r="N20" s="240">
        <v>40</v>
      </c>
      <c r="O20" s="67"/>
      <c r="P20" s="67" t="s">
        <v>25</v>
      </c>
      <c r="Q20" s="67"/>
      <c r="R20" s="103"/>
      <c r="S20" s="105"/>
      <c r="T20" s="241">
        <v>55</v>
      </c>
      <c r="U20" s="67"/>
      <c r="V20" s="67" t="s">
        <v>25</v>
      </c>
      <c r="W20" s="67"/>
      <c r="X20" s="67"/>
      <c r="Y20" s="105"/>
      <c r="Z20" s="241">
        <v>70</v>
      </c>
      <c r="AA20" s="67"/>
      <c r="AB20" s="67" t="s">
        <v>25</v>
      </c>
      <c r="AC20" s="67"/>
      <c r="AD20" s="67"/>
      <c r="AE20" s="105"/>
      <c r="AF20" s="241">
        <v>85</v>
      </c>
      <c r="AG20" s="67"/>
      <c r="AH20" s="67" t="s">
        <v>25</v>
      </c>
      <c r="AI20" s="67"/>
      <c r="AJ20" s="67"/>
      <c r="AK20" s="105"/>
      <c r="AL20" s="241">
        <v>100</v>
      </c>
      <c r="AM20" s="67"/>
      <c r="AN20" s="67"/>
      <c r="AO20" s="67"/>
      <c r="AP20" s="67"/>
      <c r="AQ20" s="105"/>
    </row>
    <row r="21" spans="2:43">
      <c r="B21" s="240">
        <v>11</v>
      </c>
      <c r="C21" s="67"/>
      <c r="D21" s="103"/>
      <c r="E21" s="67"/>
      <c r="F21" s="103"/>
      <c r="G21" s="105"/>
      <c r="H21" s="240">
        <v>26</v>
      </c>
      <c r="I21" s="67"/>
      <c r="J21" s="67"/>
      <c r="K21" s="67"/>
      <c r="L21" s="103"/>
      <c r="M21" s="105"/>
      <c r="N21" s="240">
        <v>41</v>
      </c>
      <c r="O21" s="67"/>
      <c r="P21" s="67" t="s">
        <v>25</v>
      </c>
      <c r="Q21" s="67"/>
      <c r="R21" s="103"/>
      <c r="S21" s="105"/>
      <c r="T21" s="241">
        <v>56</v>
      </c>
      <c r="U21" s="67"/>
      <c r="V21" s="67" t="s">
        <v>25</v>
      </c>
      <c r="W21" s="67"/>
      <c r="X21" s="67"/>
      <c r="Y21" s="105"/>
      <c r="Z21" s="241">
        <v>71</v>
      </c>
      <c r="AA21" s="67"/>
      <c r="AB21" s="67" t="s">
        <v>25</v>
      </c>
      <c r="AC21" s="67"/>
      <c r="AD21" s="67"/>
      <c r="AE21" s="105"/>
      <c r="AF21" s="241">
        <v>86</v>
      </c>
      <c r="AG21" s="67"/>
      <c r="AH21" s="67" t="s">
        <v>25</v>
      </c>
      <c r="AI21" s="67"/>
      <c r="AJ21" s="67"/>
      <c r="AK21" s="105"/>
      <c r="AL21" s="241">
        <v>101</v>
      </c>
      <c r="AM21" s="194"/>
      <c r="AN21" s="194"/>
      <c r="AO21" s="194"/>
      <c r="AP21" s="194"/>
      <c r="AQ21" s="195"/>
    </row>
    <row r="22" spans="2:43">
      <c r="B22" s="240">
        <v>12</v>
      </c>
      <c r="C22" s="67"/>
      <c r="D22" s="103"/>
      <c r="E22" s="67"/>
      <c r="F22" s="103"/>
      <c r="G22" s="105"/>
      <c r="H22" s="240">
        <v>27</v>
      </c>
      <c r="I22" s="67"/>
      <c r="J22" s="67"/>
      <c r="K22" s="67"/>
      <c r="L22" s="103"/>
      <c r="M22" s="105"/>
      <c r="N22" s="240">
        <v>42</v>
      </c>
      <c r="O22" s="67"/>
      <c r="P22" s="67" t="s">
        <v>25</v>
      </c>
      <c r="Q22" s="67"/>
      <c r="R22" s="103"/>
      <c r="S22" s="105"/>
      <c r="T22" s="241">
        <v>57</v>
      </c>
      <c r="U22" s="67"/>
      <c r="V22" s="67" t="s">
        <v>25</v>
      </c>
      <c r="W22" s="67"/>
      <c r="X22" s="67"/>
      <c r="Y22" s="105"/>
      <c r="Z22" s="241">
        <v>72</v>
      </c>
      <c r="AA22" s="67"/>
      <c r="AB22" s="67" t="s">
        <v>25</v>
      </c>
      <c r="AC22" s="67"/>
      <c r="AD22" s="67"/>
      <c r="AE22" s="105"/>
      <c r="AF22" s="241">
        <v>87</v>
      </c>
      <c r="AG22" s="67"/>
      <c r="AH22" s="67" t="s">
        <v>25</v>
      </c>
      <c r="AI22" s="67"/>
      <c r="AJ22" s="67"/>
      <c r="AK22" s="105"/>
      <c r="AL22" s="241">
        <v>102</v>
      </c>
      <c r="AM22" s="194"/>
      <c r="AN22" s="194" t="s">
        <v>25</v>
      </c>
      <c r="AO22" s="194" t="s">
        <v>25</v>
      </c>
      <c r="AP22" s="194"/>
      <c r="AQ22" s="195"/>
    </row>
    <row r="23" spans="2:43">
      <c r="B23" s="240">
        <v>13</v>
      </c>
      <c r="C23" s="67"/>
      <c r="D23" s="103"/>
      <c r="E23" s="67"/>
      <c r="F23" s="103"/>
      <c r="G23" s="105"/>
      <c r="H23" s="240">
        <v>28</v>
      </c>
      <c r="I23" s="67"/>
      <c r="J23" s="67"/>
      <c r="K23" s="67"/>
      <c r="L23" s="103"/>
      <c r="M23" s="105"/>
      <c r="N23" s="240">
        <v>43</v>
      </c>
      <c r="O23" s="67"/>
      <c r="P23" s="67" t="s">
        <v>25</v>
      </c>
      <c r="Q23" s="67"/>
      <c r="R23" s="103"/>
      <c r="S23" s="105"/>
      <c r="T23" s="241">
        <v>58</v>
      </c>
      <c r="U23" s="67"/>
      <c r="V23" s="67" t="s">
        <v>25</v>
      </c>
      <c r="W23" s="67"/>
      <c r="X23" s="67"/>
      <c r="Y23" s="105"/>
      <c r="Z23" s="241">
        <v>73</v>
      </c>
      <c r="AA23" s="67"/>
      <c r="AB23" s="67" t="s">
        <v>25</v>
      </c>
      <c r="AC23" s="67"/>
      <c r="AD23" s="67"/>
      <c r="AE23" s="105"/>
      <c r="AF23" s="241">
        <v>88</v>
      </c>
      <c r="AG23" s="67"/>
      <c r="AH23" s="67" t="s">
        <v>25</v>
      </c>
      <c r="AI23" s="67"/>
      <c r="AJ23" s="67"/>
      <c r="AK23" s="105"/>
      <c r="AL23" s="241">
        <v>103</v>
      </c>
      <c r="AM23" s="194"/>
      <c r="AN23" s="194" t="s">
        <v>25</v>
      </c>
      <c r="AO23" s="194" t="s">
        <v>25</v>
      </c>
      <c r="AP23" s="194"/>
      <c r="AQ23" s="195"/>
    </row>
    <row r="24" spans="2:43">
      <c r="B24" s="240">
        <v>14</v>
      </c>
      <c r="C24" s="67"/>
      <c r="D24" s="103"/>
      <c r="E24" s="67"/>
      <c r="F24" s="103"/>
      <c r="G24" s="105"/>
      <c r="H24" s="240">
        <v>29</v>
      </c>
      <c r="I24" s="67"/>
      <c r="J24" s="67"/>
      <c r="K24" s="67"/>
      <c r="L24" s="103"/>
      <c r="M24" s="105"/>
      <c r="N24" s="240">
        <v>44</v>
      </c>
      <c r="O24" s="67"/>
      <c r="P24" s="67" t="s">
        <v>25</v>
      </c>
      <c r="Q24" s="67"/>
      <c r="R24" s="103"/>
      <c r="S24" s="105"/>
      <c r="T24" s="241">
        <v>59</v>
      </c>
      <c r="U24" s="67"/>
      <c r="V24" s="67" t="s">
        <v>25</v>
      </c>
      <c r="W24" s="67"/>
      <c r="X24" s="67"/>
      <c r="Y24" s="105"/>
      <c r="Z24" s="241">
        <v>74</v>
      </c>
      <c r="AA24" s="67"/>
      <c r="AB24" s="67" t="s">
        <v>25</v>
      </c>
      <c r="AC24" s="67"/>
      <c r="AD24" s="67"/>
      <c r="AE24" s="105"/>
      <c r="AF24" s="241">
        <v>89</v>
      </c>
      <c r="AG24" s="67"/>
      <c r="AH24" s="67" t="s">
        <v>25</v>
      </c>
      <c r="AI24" s="67"/>
      <c r="AJ24" s="67"/>
      <c r="AK24" s="105"/>
      <c r="AL24" s="241">
        <v>104</v>
      </c>
      <c r="AM24" s="194"/>
      <c r="AN24" s="194" t="s">
        <v>25</v>
      </c>
      <c r="AO24" s="194" t="s">
        <v>25</v>
      </c>
      <c r="AP24" s="194"/>
      <c r="AQ24" s="195"/>
    </row>
    <row r="25" spans="2:43" ht="19.5" thickBot="1">
      <c r="B25" s="242">
        <v>15</v>
      </c>
      <c r="C25" s="68"/>
      <c r="D25" s="68"/>
      <c r="E25" s="68"/>
      <c r="F25" s="106"/>
      <c r="G25" s="107"/>
      <c r="H25" s="242">
        <v>30</v>
      </c>
      <c r="I25" s="68"/>
      <c r="J25" s="68"/>
      <c r="K25" s="68"/>
      <c r="L25" s="106"/>
      <c r="M25" s="107"/>
      <c r="N25" s="242">
        <v>45</v>
      </c>
      <c r="O25" s="68"/>
      <c r="P25" s="68" t="s">
        <v>25</v>
      </c>
      <c r="Q25" s="68"/>
      <c r="R25" s="106"/>
      <c r="S25" s="107"/>
      <c r="T25" s="243">
        <v>60</v>
      </c>
      <c r="U25" s="68"/>
      <c r="V25" s="68" t="s">
        <v>25</v>
      </c>
      <c r="W25" s="68"/>
      <c r="X25" s="68"/>
      <c r="Y25" s="107"/>
      <c r="Z25" s="242">
        <v>75</v>
      </c>
      <c r="AA25" s="68"/>
      <c r="AB25" s="68" t="s">
        <v>25</v>
      </c>
      <c r="AC25" s="68"/>
      <c r="AD25" s="68"/>
      <c r="AE25" s="107"/>
      <c r="AF25" s="243">
        <v>90</v>
      </c>
      <c r="AG25" s="68"/>
      <c r="AH25" s="68" t="s">
        <v>25</v>
      </c>
      <c r="AI25" s="68"/>
      <c r="AJ25" s="68"/>
      <c r="AK25" s="107"/>
      <c r="AL25" s="243">
        <v>105</v>
      </c>
      <c r="AM25" s="196"/>
      <c r="AN25" s="196" t="s">
        <v>25</v>
      </c>
      <c r="AO25" s="196" t="s">
        <v>25</v>
      </c>
      <c r="AP25" s="196"/>
      <c r="AQ25" s="197"/>
    </row>
    <row r="26" spans="2:43">
      <c r="B26" t="s">
        <v>141</v>
      </c>
    </row>
  </sheetData>
  <sheetProtection password="E95D" sheet="1" selectLockedCells="1"/>
  <mergeCells count="16">
    <mergeCell ref="I6:K6"/>
    <mergeCell ref="L6:M6"/>
    <mergeCell ref="H2:H6"/>
    <mergeCell ref="B2:B5"/>
    <mergeCell ref="I3:K3"/>
    <mergeCell ref="I4:K4"/>
    <mergeCell ref="I5:K5"/>
    <mergeCell ref="E4:F4"/>
    <mergeCell ref="C2:D2"/>
    <mergeCell ref="C3:D3"/>
    <mergeCell ref="C4:D4"/>
    <mergeCell ref="I2:J2"/>
    <mergeCell ref="E2:F2"/>
    <mergeCell ref="E3:F3"/>
    <mergeCell ref="E5:F5"/>
    <mergeCell ref="C5:D5"/>
  </mergeCells>
  <phoneticPr fontId="1"/>
  <dataValidations count="9">
    <dataValidation type="list" allowBlank="1" showInputMessage="1" showErrorMessage="1" sqref="E2" xr:uid="{00000000-0002-0000-0100-000000000000}">
      <formula1>"一級(F2),二級(M1),三級(M2)"</formula1>
    </dataValidation>
    <dataValidation type="list" imeMode="off" allowBlank="1" showInputMessage="1" showErrorMessage="1" sqref="C11:C25 I11:I25 O11:O25 U11:U25 AA11:AA25 AG11:AG25 AM11:AM25" xr:uid="{00000000-0002-0000-0100-000001000000}">
      <formula1>"　,1,2,5,10,20,50,100,200,500,1000"</formula1>
    </dataValidation>
    <dataValidation type="list" allowBlank="1" showInputMessage="1" showErrorMessage="1" sqref="W11:W25 K11:K25 Q11:Q25 E12:E25 AC11:AC25 AI11:AI25 AO11:AO25" xr:uid="{00000000-0002-0000-0100-000002000000}">
      <formula1>"　,円筒形,角とう形,板状,線状"</formula1>
    </dataValidation>
    <dataValidation type="list" allowBlank="1" showInputMessage="1" showErrorMessage="1" sqref="L4:L5 E5" xr:uid="{00000000-0002-0000-0100-000003000000}">
      <formula1>"有,無"</formula1>
    </dataValidation>
    <dataValidation type="list" imeMode="hiragana" allowBlank="1" showInputMessage="1" showErrorMessage="1" sqref="E11" xr:uid="{00000000-0002-0000-0100-000004000000}">
      <formula1>"　,円筒形,角とう形,板状,線状"</formula1>
    </dataValidation>
    <dataValidation type="list" allowBlank="1" showInputMessage="1" showErrorMessage="1" sqref="L2" xr:uid="{00000000-0002-0000-0100-000005000000}">
      <formula1>"新規,再校正"</formula1>
    </dataValidation>
    <dataValidation type="list" allowBlank="1" showInputMessage="1" showErrorMessage="1" sqref="Y11:Y25 S11:S25 M11:M25 G11:G25 AE11:AE25 AK11:AK25 AQ11:AQ25" xr:uid="{00000000-0002-0000-0100-000006000000}">
      <formula1>"　,ステンレス鋼,真ちゅう(メッキ),洋銀,アルミニウム,アルミ合金,鋳鉄等,その他"</formula1>
    </dataValidation>
    <dataValidation type="list" allowBlank="1" showInputMessage="1" showErrorMessage="1" sqref="E4:F4" xr:uid="{00000000-0002-0000-0100-000007000000}">
      <formula1>"JCSS+基準器検査,JCSS"</formula1>
    </dataValidation>
    <dataValidation type="list" imeMode="off" allowBlank="1" showInputMessage="1" showErrorMessage="1" sqref="D11:D25 J11:J25 P11:P25 V11:V25 AB11:AB25 AH11:AH25 AN11:AN25" xr:uid="{00000000-0002-0000-0100-000008000000}">
      <formula1>"　,mg,g,kg,t"</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L30"/>
  <sheetViews>
    <sheetView workbookViewId="0">
      <selection activeCell="I29" sqref="I29"/>
    </sheetView>
  </sheetViews>
  <sheetFormatPr defaultRowHeight="18.75"/>
  <cols>
    <col min="1" max="16384" width="9" style="53"/>
  </cols>
  <sheetData>
    <row r="1" spans="1:12">
      <c r="A1" s="54"/>
      <c r="B1" s="297" t="s">
        <v>93</v>
      </c>
      <c r="C1" s="298"/>
      <c r="D1" s="299"/>
      <c r="E1" s="54"/>
      <c r="F1" s="297" t="s">
        <v>94</v>
      </c>
      <c r="G1" s="298"/>
      <c r="H1" s="299"/>
      <c r="I1" s="54"/>
      <c r="J1" s="297" t="s">
        <v>95</v>
      </c>
      <c r="K1" s="298"/>
      <c r="L1" s="299"/>
    </row>
    <row r="2" spans="1:12" s="56" customFormat="1">
      <c r="A2" s="55"/>
      <c r="B2" s="55" t="s">
        <v>147</v>
      </c>
      <c r="C2" s="55" t="s">
        <v>148</v>
      </c>
      <c r="D2" s="55" t="s">
        <v>149</v>
      </c>
      <c r="E2" s="55"/>
      <c r="F2" s="55" t="s">
        <v>147</v>
      </c>
      <c r="G2" s="55" t="s">
        <v>148</v>
      </c>
      <c r="H2" s="55" t="s">
        <v>149</v>
      </c>
      <c r="I2" s="55"/>
      <c r="J2" s="55" t="s">
        <v>147</v>
      </c>
      <c r="K2" s="55" t="s">
        <v>148</v>
      </c>
      <c r="L2" s="55" t="s">
        <v>149</v>
      </c>
    </row>
    <row r="3" spans="1:12">
      <c r="A3" s="54" t="s">
        <v>64</v>
      </c>
      <c r="B3" s="57">
        <v>3200</v>
      </c>
      <c r="C3" s="57">
        <v>1100</v>
      </c>
      <c r="D3" s="57">
        <v>890</v>
      </c>
      <c r="E3" s="54"/>
      <c r="F3" s="57">
        <v>3200</v>
      </c>
      <c r="G3" s="57">
        <v>640</v>
      </c>
      <c r="H3" s="57">
        <v>480</v>
      </c>
      <c r="I3" s="54"/>
      <c r="J3" s="57">
        <v>1250</v>
      </c>
      <c r="K3" s="57">
        <v>330</v>
      </c>
      <c r="L3" s="57">
        <v>290</v>
      </c>
    </row>
    <row r="4" spans="1:12">
      <c r="A4" s="54" t="s">
        <v>65</v>
      </c>
      <c r="B4" s="57">
        <v>3200</v>
      </c>
      <c r="C4" s="57">
        <v>1100</v>
      </c>
      <c r="D4" s="57">
        <v>890</v>
      </c>
      <c r="E4" s="54"/>
      <c r="F4" s="57">
        <v>3200</v>
      </c>
      <c r="G4" s="57">
        <v>640</v>
      </c>
      <c r="H4" s="57">
        <v>480</v>
      </c>
      <c r="I4" s="54"/>
      <c r="J4" s="57">
        <v>1250</v>
      </c>
      <c r="K4" s="57">
        <v>330</v>
      </c>
      <c r="L4" s="57">
        <v>290</v>
      </c>
    </row>
    <row r="5" spans="1:12">
      <c r="A5" s="54" t="s">
        <v>66</v>
      </c>
      <c r="B5" s="57">
        <v>3200</v>
      </c>
      <c r="C5" s="57">
        <v>1100</v>
      </c>
      <c r="D5" s="57">
        <v>890</v>
      </c>
      <c r="E5" s="54"/>
      <c r="F5" s="57">
        <v>3200</v>
      </c>
      <c r="G5" s="57">
        <v>640</v>
      </c>
      <c r="H5" s="57">
        <v>480</v>
      </c>
      <c r="I5" s="54"/>
      <c r="J5" s="57">
        <v>1250</v>
      </c>
      <c r="K5" s="57">
        <v>330</v>
      </c>
      <c r="L5" s="57">
        <v>290</v>
      </c>
    </row>
    <row r="6" spans="1:12">
      <c r="A6" s="54" t="s">
        <v>67</v>
      </c>
      <c r="B6" s="57">
        <v>3200</v>
      </c>
      <c r="C6" s="57">
        <v>1100</v>
      </c>
      <c r="D6" s="57">
        <v>890</v>
      </c>
      <c r="E6" s="54"/>
      <c r="F6" s="57">
        <v>3200</v>
      </c>
      <c r="G6" s="57">
        <v>640</v>
      </c>
      <c r="H6" s="57">
        <v>480</v>
      </c>
      <c r="I6" s="54"/>
      <c r="J6" s="57">
        <v>1250</v>
      </c>
      <c r="K6" s="57">
        <v>330</v>
      </c>
      <c r="L6" s="57">
        <v>290</v>
      </c>
    </row>
    <row r="7" spans="1:12">
      <c r="A7" s="54" t="s">
        <v>68</v>
      </c>
      <c r="B7" s="57">
        <v>3200</v>
      </c>
      <c r="C7" s="57">
        <v>1100</v>
      </c>
      <c r="D7" s="57">
        <v>890</v>
      </c>
      <c r="E7" s="54"/>
      <c r="F7" s="57">
        <v>3200</v>
      </c>
      <c r="G7" s="57">
        <v>640</v>
      </c>
      <c r="H7" s="57">
        <v>480</v>
      </c>
      <c r="I7" s="54"/>
      <c r="J7" s="57">
        <v>1250</v>
      </c>
      <c r="K7" s="57">
        <v>330</v>
      </c>
      <c r="L7" s="57">
        <v>290</v>
      </c>
    </row>
    <row r="8" spans="1:12">
      <c r="A8" s="54" t="s">
        <v>69</v>
      </c>
      <c r="B8" s="57">
        <v>3200</v>
      </c>
      <c r="C8" s="57">
        <v>1100</v>
      </c>
      <c r="D8" s="57">
        <v>890</v>
      </c>
      <c r="E8" s="54"/>
      <c r="F8" s="57">
        <v>3200</v>
      </c>
      <c r="G8" s="57">
        <v>640</v>
      </c>
      <c r="H8" s="57">
        <v>480</v>
      </c>
      <c r="I8" s="54"/>
      <c r="J8" s="57">
        <v>1250</v>
      </c>
      <c r="K8" s="57">
        <v>330</v>
      </c>
      <c r="L8" s="57">
        <v>290</v>
      </c>
    </row>
    <row r="9" spans="1:12">
      <c r="A9" s="54" t="s">
        <v>70</v>
      </c>
      <c r="B9" s="57">
        <v>3200</v>
      </c>
      <c r="C9" s="57">
        <v>1100</v>
      </c>
      <c r="D9" s="57">
        <v>890</v>
      </c>
      <c r="E9" s="54"/>
      <c r="F9" s="57">
        <v>3200</v>
      </c>
      <c r="G9" s="57">
        <v>640</v>
      </c>
      <c r="H9" s="57">
        <v>480</v>
      </c>
      <c r="I9" s="54"/>
      <c r="J9" s="57">
        <v>1250</v>
      </c>
      <c r="K9" s="57">
        <v>330</v>
      </c>
      <c r="L9" s="57">
        <v>290</v>
      </c>
    </row>
    <row r="10" spans="1:12">
      <c r="A10" s="54" t="s">
        <v>71</v>
      </c>
      <c r="B10" s="57">
        <v>3200</v>
      </c>
      <c r="C10" s="57">
        <v>1100</v>
      </c>
      <c r="D10" s="57">
        <v>890</v>
      </c>
      <c r="E10" s="54"/>
      <c r="F10" s="57">
        <v>3200</v>
      </c>
      <c r="G10" s="57">
        <v>640</v>
      </c>
      <c r="H10" s="57">
        <v>480</v>
      </c>
      <c r="I10" s="54"/>
      <c r="J10" s="57">
        <v>1250</v>
      </c>
      <c r="K10" s="57">
        <v>330</v>
      </c>
      <c r="L10" s="57">
        <v>290</v>
      </c>
    </row>
    <row r="11" spans="1:12">
      <c r="A11" s="54" t="s">
        <v>72</v>
      </c>
      <c r="B11" s="57">
        <v>3200</v>
      </c>
      <c r="C11" s="57">
        <v>1100</v>
      </c>
      <c r="D11" s="57">
        <v>890</v>
      </c>
      <c r="E11" s="54"/>
      <c r="F11" s="57">
        <v>3200</v>
      </c>
      <c r="G11" s="57">
        <v>640</v>
      </c>
      <c r="H11" s="57">
        <v>480</v>
      </c>
      <c r="I11" s="54"/>
      <c r="J11" s="57">
        <v>1250</v>
      </c>
      <c r="K11" s="57">
        <v>330</v>
      </c>
      <c r="L11" s="57">
        <v>290</v>
      </c>
    </row>
    <row r="12" spans="1:12">
      <c r="A12" s="54" t="s">
        <v>73</v>
      </c>
      <c r="B12" s="57">
        <v>3200</v>
      </c>
      <c r="C12" s="57">
        <v>1100</v>
      </c>
      <c r="D12" s="57">
        <v>890</v>
      </c>
      <c r="E12" s="54"/>
      <c r="F12" s="57">
        <v>3200</v>
      </c>
      <c r="G12" s="57">
        <v>640</v>
      </c>
      <c r="H12" s="57">
        <v>480</v>
      </c>
      <c r="I12" s="54"/>
      <c r="J12" s="57">
        <v>1250</v>
      </c>
      <c r="K12" s="57">
        <v>330</v>
      </c>
      <c r="L12" s="57">
        <v>290</v>
      </c>
    </row>
    <row r="13" spans="1:12">
      <c r="A13" s="54" t="s">
        <v>74</v>
      </c>
      <c r="B13" s="57">
        <v>3200</v>
      </c>
      <c r="C13" s="57">
        <v>1100</v>
      </c>
      <c r="D13" s="57">
        <v>890</v>
      </c>
      <c r="E13" s="54"/>
      <c r="F13" s="57">
        <v>3200</v>
      </c>
      <c r="G13" s="57">
        <v>640</v>
      </c>
      <c r="H13" s="57">
        <v>480</v>
      </c>
      <c r="I13" s="54"/>
      <c r="J13" s="57">
        <v>1250</v>
      </c>
      <c r="K13" s="57">
        <v>330</v>
      </c>
      <c r="L13" s="57">
        <v>290</v>
      </c>
    </row>
    <row r="14" spans="1:12">
      <c r="A14" s="54" t="s">
        <v>75</v>
      </c>
      <c r="B14" s="57">
        <v>3200</v>
      </c>
      <c r="C14" s="57">
        <v>1100</v>
      </c>
      <c r="D14" s="57">
        <v>890</v>
      </c>
      <c r="E14" s="54"/>
      <c r="F14" s="57">
        <v>3200</v>
      </c>
      <c r="G14" s="57">
        <v>640</v>
      </c>
      <c r="H14" s="57">
        <v>480</v>
      </c>
      <c r="I14" s="54"/>
      <c r="J14" s="57">
        <v>1250</v>
      </c>
      <c r="K14" s="57">
        <v>330</v>
      </c>
      <c r="L14" s="57">
        <v>290</v>
      </c>
    </row>
    <row r="15" spans="1:12">
      <c r="A15" s="54" t="s">
        <v>76</v>
      </c>
      <c r="B15" s="57">
        <v>3200</v>
      </c>
      <c r="C15" s="57">
        <v>1100</v>
      </c>
      <c r="D15" s="57">
        <v>890</v>
      </c>
      <c r="E15" s="54"/>
      <c r="F15" s="57">
        <v>3200</v>
      </c>
      <c r="G15" s="57">
        <v>640</v>
      </c>
      <c r="H15" s="57">
        <v>480</v>
      </c>
      <c r="I15" s="54"/>
      <c r="J15" s="57">
        <v>1250</v>
      </c>
      <c r="K15" s="57">
        <v>330</v>
      </c>
      <c r="L15" s="57">
        <v>290</v>
      </c>
    </row>
    <row r="16" spans="1:12">
      <c r="A16" s="54" t="s">
        <v>77</v>
      </c>
      <c r="B16" s="57">
        <v>3200</v>
      </c>
      <c r="C16" s="57">
        <v>1100</v>
      </c>
      <c r="D16" s="57">
        <v>890</v>
      </c>
      <c r="E16" s="54"/>
      <c r="F16" s="57">
        <v>3200</v>
      </c>
      <c r="G16" s="57">
        <v>640</v>
      </c>
      <c r="H16" s="57">
        <v>480</v>
      </c>
      <c r="I16" s="54"/>
      <c r="J16" s="57">
        <v>1250</v>
      </c>
      <c r="K16" s="57">
        <v>330</v>
      </c>
      <c r="L16" s="57">
        <v>290</v>
      </c>
    </row>
    <row r="17" spans="1:12">
      <c r="A17" s="54" t="s">
        <v>78</v>
      </c>
      <c r="B17" s="57">
        <v>3200</v>
      </c>
      <c r="C17" s="57">
        <v>1100</v>
      </c>
      <c r="D17" s="57">
        <v>890</v>
      </c>
      <c r="E17" s="54"/>
      <c r="F17" s="57">
        <v>3200</v>
      </c>
      <c r="G17" s="57">
        <v>640</v>
      </c>
      <c r="H17" s="57">
        <v>480</v>
      </c>
      <c r="I17" s="54"/>
      <c r="J17" s="57">
        <v>1250</v>
      </c>
      <c r="K17" s="57">
        <v>330</v>
      </c>
      <c r="L17" s="57">
        <v>290</v>
      </c>
    </row>
    <row r="18" spans="1:12">
      <c r="A18" s="54" t="s">
        <v>79</v>
      </c>
      <c r="B18" s="57">
        <v>3200</v>
      </c>
      <c r="C18" s="57">
        <v>1100</v>
      </c>
      <c r="D18" s="57">
        <v>890</v>
      </c>
      <c r="E18" s="54"/>
      <c r="F18" s="57">
        <v>3200</v>
      </c>
      <c r="G18" s="57">
        <v>640</v>
      </c>
      <c r="H18" s="57">
        <v>480</v>
      </c>
      <c r="I18" s="54"/>
      <c r="J18" s="57">
        <v>1250</v>
      </c>
      <c r="K18" s="57">
        <v>330</v>
      </c>
      <c r="L18" s="57">
        <v>290</v>
      </c>
    </row>
    <row r="19" spans="1:12">
      <c r="A19" s="54" t="s">
        <v>81</v>
      </c>
      <c r="B19" s="57">
        <v>3200</v>
      </c>
      <c r="C19" s="57">
        <v>1100</v>
      </c>
      <c r="D19" s="57">
        <v>890</v>
      </c>
      <c r="E19" s="54"/>
      <c r="F19" s="57">
        <v>3200</v>
      </c>
      <c r="G19" s="57">
        <v>640</v>
      </c>
      <c r="H19" s="57">
        <v>480</v>
      </c>
      <c r="I19" s="54"/>
      <c r="J19" s="57">
        <v>1250</v>
      </c>
      <c r="K19" s="57">
        <v>330</v>
      </c>
      <c r="L19" s="57">
        <v>290</v>
      </c>
    </row>
    <row r="20" spans="1:12">
      <c r="A20" s="54" t="s">
        <v>82</v>
      </c>
      <c r="B20" s="58">
        <v>7900</v>
      </c>
      <c r="C20" s="57">
        <v>1100</v>
      </c>
      <c r="D20" s="57">
        <v>890</v>
      </c>
      <c r="E20" s="54"/>
      <c r="F20" s="58">
        <v>7900</v>
      </c>
      <c r="G20" s="57">
        <v>640</v>
      </c>
      <c r="H20" s="57">
        <v>480</v>
      </c>
      <c r="I20" s="54"/>
      <c r="J20" s="58">
        <v>2950</v>
      </c>
      <c r="K20" s="57">
        <v>330</v>
      </c>
      <c r="L20" s="57">
        <v>290</v>
      </c>
    </row>
    <row r="21" spans="1:12">
      <c r="A21" s="54" t="s">
        <v>83</v>
      </c>
      <c r="B21" s="58">
        <v>7900</v>
      </c>
      <c r="C21" s="57">
        <v>1100</v>
      </c>
      <c r="D21" s="57">
        <v>890</v>
      </c>
      <c r="E21" s="54"/>
      <c r="F21" s="58">
        <v>7900</v>
      </c>
      <c r="G21" s="57">
        <v>640</v>
      </c>
      <c r="H21" s="57">
        <v>480</v>
      </c>
      <c r="I21" s="54"/>
      <c r="J21" s="58">
        <v>2950</v>
      </c>
      <c r="K21" s="57">
        <v>330</v>
      </c>
      <c r="L21" s="57">
        <v>290</v>
      </c>
    </row>
    <row r="22" spans="1:12">
      <c r="A22" s="54" t="s">
        <v>84</v>
      </c>
      <c r="B22" s="58">
        <v>7900</v>
      </c>
      <c r="C22" s="57">
        <v>1100</v>
      </c>
      <c r="D22" s="57">
        <v>890</v>
      </c>
      <c r="E22" s="54"/>
      <c r="F22" s="58">
        <v>7900</v>
      </c>
      <c r="G22" s="57">
        <v>640</v>
      </c>
      <c r="H22" s="57">
        <v>480</v>
      </c>
      <c r="I22" s="54"/>
      <c r="J22" s="58">
        <v>2950</v>
      </c>
      <c r="K22" s="57">
        <v>330</v>
      </c>
      <c r="L22" s="57">
        <v>290</v>
      </c>
    </row>
    <row r="23" spans="1:12">
      <c r="A23" s="54" t="s">
        <v>85</v>
      </c>
      <c r="B23" s="58">
        <v>7900</v>
      </c>
      <c r="C23" s="57">
        <v>1100</v>
      </c>
      <c r="D23" s="57">
        <v>890</v>
      </c>
      <c r="E23" s="54"/>
      <c r="F23" s="58">
        <v>7900</v>
      </c>
      <c r="G23" s="57">
        <v>640</v>
      </c>
      <c r="H23" s="57">
        <v>480</v>
      </c>
      <c r="I23" s="54"/>
      <c r="J23" s="58">
        <v>2950</v>
      </c>
      <c r="K23" s="57">
        <v>330</v>
      </c>
      <c r="L23" s="57">
        <v>290</v>
      </c>
    </row>
    <row r="24" spans="1:12">
      <c r="A24" s="54" t="s">
        <v>86</v>
      </c>
      <c r="B24" s="58">
        <v>7900</v>
      </c>
      <c r="C24" s="58">
        <v>1400</v>
      </c>
      <c r="D24" s="58">
        <v>1200</v>
      </c>
      <c r="E24" s="54"/>
      <c r="F24" s="58">
        <v>7900</v>
      </c>
      <c r="G24" s="58">
        <v>780</v>
      </c>
      <c r="H24" s="58">
        <v>650</v>
      </c>
      <c r="I24" s="54"/>
      <c r="J24" s="58">
        <v>2950</v>
      </c>
      <c r="K24" s="57">
        <v>330</v>
      </c>
      <c r="L24" s="57">
        <v>290</v>
      </c>
    </row>
    <row r="25" spans="1:12">
      <c r="A25" s="54" t="s">
        <v>87</v>
      </c>
      <c r="B25" s="58">
        <v>7900</v>
      </c>
      <c r="C25" s="58">
        <v>1400</v>
      </c>
      <c r="D25" s="58">
        <v>1200</v>
      </c>
      <c r="E25" s="54"/>
      <c r="F25" s="58">
        <v>7900</v>
      </c>
      <c r="G25" s="58">
        <v>780</v>
      </c>
      <c r="H25" s="58">
        <v>650</v>
      </c>
      <c r="I25" s="54"/>
      <c r="J25" s="58">
        <v>2950</v>
      </c>
      <c r="K25" s="57">
        <v>330</v>
      </c>
      <c r="L25" s="57">
        <v>290</v>
      </c>
    </row>
    <row r="26" spans="1:12">
      <c r="A26" s="54" t="s">
        <v>88</v>
      </c>
      <c r="B26" s="54"/>
      <c r="C26" s="58">
        <v>1400</v>
      </c>
      <c r="D26" s="58">
        <v>1200</v>
      </c>
      <c r="E26" s="54"/>
      <c r="F26" s="54"/>
      <c r="G26" s="58">
        <v>780</v>
      </c>
      <c r="H26" s="58">
        <v>650</v>
      </c>
      <c r="I26" s="54"/>
      <c r="J26" s="54"/>
      <c r="K26" s="57">
        <v>330</v>
      </c>
      <c r="L26" s="57">
        <v>290</v>
      </c>
    </row>
    <row r="27" spans="1:12">
      <c r="A27" s="54" t="s">
        <v>89</v>
      </c>
      <c r="B27" s="54"/>
      <c r="C27" s="59">
        <v>9800</v>
      </c>
      <c r="D27" s="59">
        <v>8000</v>
      </c>
      <c r="E27" s="54"/>
      <c r="F27" s="54"/>
      <c r="G27" s="59">
        <v>8800</v>
      </c>
      <c r="H27" s="59">
        <v>7100</v>
      </c>
      <c r="I27" s="54"/>
      <c r="J27" s="54"/>
      <c r="K27" s="58">
        <v>2350</v>
      </c>
      <c r="L27" s="58">
        <v>1750</v>
      </c>
    </row>
    <row r="28" spans="1:12">
      <c r="A28" s="54" t="s">
        <v>90</v>
      </c>
      <c r="B28" s="54"/>
      <c r="C28" s="60">
        <v>10100</v>
      </c>
      <c r="D28" s="60">
        <v>8300</v>
      </c>
      <c r="E28" s="54"/>
      <c r="F28" s="54"/>
      <c r="G28" s="59">
        <v>8800</v>
      </c>
      <c r="H28" s="59">
        <v>7100</v>
      </c>
      <c r="I28" s="54"/>
      <c r="J28" s="54"/>
      <c r="K28" s="58">
        <v>2350</v>
      </c>
      <c r="L28" s="58">
        <v>1750</v>
      </c>
    </row>
    <row r="29" spans="1:12">
      <c r="A29" s="54" t="s">
        <v>91</v>
      </c>
      <c r="B29" s="54"/>
      <c r="C29" s="61">
        <v>10700</v>
      </c>
      <c r="D29" s="61">
        <v>8800</v>
      </c>
      <c r="E29" s="54"/>
      <c r="F29" s="54"/>
      <c r="G29" s="59">
        <v>8800</v>
      </c>
      <c r="H29" s="59">
        <v>7100</v>
      </c>
      <c r="I29" s="54"/>
      <c r="J29" s="54"/>
      <c r="K29" s="58">
        <v>2350</v>
      </c>
      <c r="L29" s="58">
        <v>1750</v>
      </c>
    </row>
    <row r="30" spans="1:12">
      <c r="A30" s="54" t="s">
        <v>92</v>
      </c>
      <c r="B30" s="54"/>
      <c r="C30" s="193">
        <v>11400</v>
      </c>
      <c r="D30" s="193">
        <v>9300</v>
      </c>
      <c r="E30" s="54"/>
      <c r="F30" s="54"/>
      <c r="G30" s="59">
        <v>8800</v>
      </c>
      <c r="H30" s="59">
        <v>7100</v>
      </c>
      <c r="I30" s="54"/>
      <c r="J30" s="54"/>
      <c r="K30" s="58">
        <v>2350</v>
      </c>
      <c r="L30" s="58">
        <v>1750</v>
      </c>
    </row>
  </sheetData>
  <sheetProtection password="E95D" sheet="1" objects="1" scenarios="1" selectLockedCells="1"/>
  <mergeCells count="3">
    <mergeCell ref="B1:D1"/>
    <mergeCell ref="F1:H1"/>
    <mergeCell ref="J1:L1"/>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AH159"/>
  <sheetViews>
    <sheetView workbookViewId="0"/>
  </sheetViews>
  <sheetFormatPr defaultRowHeight="18.75"/>
  <cols>
    <col min="1" max="1" width="22" style="70" bestFit="1" customWidth="1"/>
    <col min="2" max="3" width="9.375" style="70" bestFit="1" customWidth="1"/>
    <col min="4" max="7" width="10.25" style="70" bestFit="1" customWidth="1"/>
    <col min="8" max="9" width="9" style="70"/>
    <col min="10" max="10" width="9" style="70" hidden="1" customWidth="1"/>
    <col min="11" max="13" width="8.75" style="70" hidden="1" customWidth="1"/>
    <col min="14" max="14" width="10.25" style="70" hidden="1" customWidth="1"/>
    <col min="15" max="15" width="9.375" style="70" hidden="1" customWidth="1"/>
    <col min="16" max="16" width="8.5" style="70" hidden="1" customWidth="1"/>
    <col min="17" max="17" width="9.375" style="70" hidden="1" customWidth="1"/>
    <col min="18" max="23" width="8.75" style="70" hidden="1" customWidth="1"/>
    <col min="24" max="30" width="9" style="70"/>
    <col min="31" max="31" width="9" style="102"/>
    <col min="32" max="32" width="9" style="70"/>
    <col min="34" max="16384" width="9" style="70"/>
  </cols>
  <sheetData>
    <row r="1" spans="1:34" ht="19.5" thickBot="1">
      <c r="B1" s="70" t="str">
        <f>IF(分銅情報入力シート!E2="一級(F2)","F2",IF(分銅情報入力シート!E2="二級(M1)","M1","M2"))</f>
        <v>M2</v>
      </c>
      <c r="I1" s="70" t="s">
        <v>363</v>
      </c>
      <c r="X1" s="70" t="s">
        <v>364</v>
      </c>
    </row>
    <row r="2" spans="1:34">
      <c r="Z2" s="71" t="s">
        <v>0</v>
      </c>
      <c r="AA2" s="72" t="s">
        <v>5</v>
      </c>
      <c r="AB2" s="72" t="s">
        <v>8</v>
      </c>
      <c r="AC2" s="72" t="s">
        <v>6</v>
      </c>
      <c r="AD2" s="98" t="s">
        <v>7</v>
      </c>
      <c r="AE2" s="100" t="s">
        <v>140</v>
      </c>
      <c r="AG2" s="88" t="s">
        <v>117</v>
      </c>
      <c r="AH2" s="70" t="s">
        <v>390</v>
      </c>
    </row>
    <row r="3" spans="1:34">
      <c r="A3" s="70" t="s">
        <v>136</v>
      </c>
      <c r="B3" s="304" t="s">
        <v>93</v>
      </c>
      <c r="C3" s="304"/>
      <c r="D3" s="304"/>
      <c r="E3" s="304"/>
      <c r="F3" s="304"/>
      <c r="G3" s="304"/>
      <c r="K3" s="304" t="s">
        <v>94</v>
      </c>
      <c r="L3" s="304"/>
      <c r="M3" s="304"/>
      <c r="N3" s="304"/>
      <c r="O3" s="304"/>
      <c r="P3" s="304"/>
      <c r="R3" s="304" t="s">
        <v>95</v>
      </c>
      <c r="S3" s="304"/>
      <c r="T3" s="304"/>
      <c r="U3" s="304"/>
      <c r="V3" s="304"/>
      <c r="W3" s="304"/>
      <c r="Z3" s="73">
        <v>1</v>
      </c>
      <c r="AA3" s="74" t="str">
        <f>IF(AH3="×","",分銅情報入力シート!C11)</f>
        <v/>
      </c>
      <c r="AB3" s="74" t="str">
        <f>IF(AH3="×","",分銅情報入力シート!D11)</f>
        <v/>
      </c>
      <c r="AC3" s="74" t="str">
        <f>IF(AH3="×","",分銅情報入力シート!E11)</f>
        <v/>
      </c>
      <c r="AD3" s="99" t="str">
        <f>IF(AH3="×","",IF(OR(分銅情報入力シート!F11="",分銅情報入力シート!F11="　"),"",分銅情報入力シート!F11))</f>
        <v/>
      </c>
      <c r="AE3" s="101" t="str">
        <f>IF(AH3="×","",分銅情報入力シート!G11)</f>
        <v/>
      </c>
      <c r="AG3" t="str">
        <f>IF(AA3="","",IF(AB3="t",AA3*1000000,IF(AB3="kg",AA3*1000,IF(AB3="mg",AA3/1000,IF(AB3="g",AA3,"")))))</f>
        <v/>
      </c>
      <c r="AH3" s="70" t="str">
        <f>IF(AND(分銅情報入力シート!C11&lt;&gt;"",分銅情報入力シート!D11&lt;&gt;"",分銅情報入力シート!E11&lt;&gt;"",分銅情報入力シート!G11&lt;&gt;""),"〇","×")</f>
        <v>×</v>
      </c>
    </row>
    <row r="4" spans="1:34">
      <c r="B4" s="304" t="s">
        <v>147</v>
      </c>
      <c r="C4" s="304"/>
      <c r="D4" s="304" t="s">
        <v>148</v>
      </c>
      <c r="E4" s="304"/>
      <c r="F4" s="304" t="s">
        <v>149</v>
      </c>
      <c r="G4" s="304"/>
      <c r="K4" s="304" t="s">
        <v>147</v>
      </c>
      <c r="L4" s="304"/>
      <c r="M4" s="304" t="s">
        <v>148</v>
      </c>
      <c r="N4" s="304"/>
      <c r="O4" s="304" t="s">
        <v>149</v>
      </c>
      <c r="P4" s="304"/>
      <c r="R4" s="304" t="s">
        <v>147</v>
      </c>
      <c r="S4" s="304"/>
      <c r="T4" s="304" t="s">
        <v>148</v>
      </c>
      <c r="U4" s="304"/>
      <c r="V4" s="304" t="s">
        <v>149</v>
      </c>
      <c r="W4" s="304"/>
      <c r="Z4" s="73">
        <v>2</v>
      </c>
      <c r="AA4" s="74" t="str">
        <f>IF(AH4="×","",分銅情報入力シート!C12)</f>
        <v/>
      </c>
      <c r="AB4" s="74" t="str">
        <f>IF(AH4="×","",分銅情報入力シート!D12)</f>
        <v/>
      </c>
      <c r="AC4" s="74" t="str">
        <f>IF(AH4="×","",分銅情報入力シート!E12)</f>
        <v/>
      </c>
      <c r="AD4" s="99" t="str">
        <f>IF(AH4="×","",IF(OR(分銅情報入力シート!F12="",分銅情報入力シート!F12="　"),"",分銅情報入力シート!F12))</f>
        <v/>
      </c>
      <c r="AE4" s="101" t="str">
        <f>IF(AH4="×","",分銅情報入力シート!G12)</f>
        <v/>
      </c>
      <c r="AG4" t="str">
        <f t="shared" ref="AG4:AG67" si="0">IF(AA4="","",IF(AB4="t",AA4*1000000,IF(AB4="kg",AA4*1000,IF(AB4="mg",AA4/1000,IF(AB4="g",AA4,"")))))</f>
        <v/>
      </c>
      <c r="AH4" s="70" t="str">
        <f>IF(AND(分銅情報入力シート!C12&lt;&gt;"",分銅情報入力シート!D12&lt;&gt;"",分銅情報入力シート!E12&lt;&gt;"",分銅情報入力シート!G12&lt;&gt;""),"〇","×")</f>
        <v>×</v>
      </c>
    </row>
    <row r="5" spans="1:34">
      <c r="A5" s="70" t="s">
        <v>109</v>
      </c>
      <c r="B5" s="75" t="s">
        <v>101</v>
      </c>
      <c r="C5" s="76" t="s">
        <v>80</v>
      </c>
      <c r="D5" s="77" t="s">
        <v>104</v>
      </c>
      <c r="E5" s="76" t="s">
        <v>105</v>
      </c>
      <c r="F5" s="75" t="s">
        <v>104</v>
      </c>
      <c r="G5" s="78" t="s">
        <v>105</v>
      </c>
      <c r="K5" s="77" t="s">
        <v>101</v>
      </c>
      <c r="L5" s="76" t="s">
        <v>107</v>
      </c>
      <c r="M5" s="75" t="s">
        <v>104</v>
      </c>
      <c r="N5" s="78" t="s">
        <v>105</v>
      </c>
      <c r="O5" s="77" t="s">
        <v>104</v>
      </c>
      <c r="P5" s="76" t="s">
        <v>105</v>
      </c>
      <c r="R5" s="77" t="s">
        <v>64</v>
      </c>
      <c r="S5" s="76" t="s">
        <v>107</v>
      </c>
      <c r="T5" s="75" t="s">
        <v>104</v>
      </c>
      <c r="U5" s="78" t="s">
        <v>106</v>
      </c>
      <c r="V5" s="75" t="s">
        <v>104</v>
      </c>
      <c r="W5" s="78" t="s">
        <v>106</v>
      </c>
      <c r="Z5" s="73">
        <v>3</v>
      </c>
      <c r="AA5" s="74" t="str">
        <f>IF(AH5="×","",分銅情報入力シート!C13)</f>
        <v/>
      </c>
      <c r="AB5" s="74" t="str">
        <f>IF(AH5="×","",分銅情報入力シート!D13)</f>
        <v/>
      </c>
      <c r="AC5" s="74" t="str">
        <f>IF(AH5="×","",分銅情報入力シート!E13)</f>
        <v/>
      </c>
      <c r="AD5" s="99" t="str">
        <f>IF(AH5="×","",IF(OR(分銅情報入力シート!F13="",分銅情報入力シート!F13="　"),"",分銅情報入力シート!F13))</f>
        <v/>
      </c>
      <c r="AE5" s="101" t="str">
        <f>IF(AH5="×","",分銅情報入力シート!G13)</f>
        <v/>
      </c>
      <c r="AG5" t="str">
        <f t="shared" si="0"/>
        <v/>
      </c>
      <c r="AH5" s="70" t="str">
        <f>IF(AND(分銅情報入力シート!C13&lt;&gt;"",分銅情報入力シート!D13&lt;&gt;"",分銅情報入力シート!E13&lt;&gt;"",分銅情報入力シート!G13&lt;&gt;""),"〇","×")</f>
        <v>×</v>
      </c>
    </row>
    <row r="6" spans="1:34">
      <c r="A6" s="70" t="s">
        <v>110</v>
      </c>
      <c r="B6" s="75" t="s">
        <v>102</v>
      </c>
      <c r="C6" s="76" t="s">
        <v>103</v>
      </c>
      <c r="D6" s="77" t="s">
        <v>86</v>
      </c>
      <c r="E6" s="76" t="s">
        <v>106</v>
      </c>
      <c r="F6" s="75" t="s">
        <v>86</v>
      </c>
      <c r="G6" s="78" t="s">
        <v>106</v>
      </c>
      <c r="K6" s="77" t="s">
        <v>102</v>
      </c>
      <c r="L6" s="76" t="s">
        <v>103</v>
      </c>
      <c r="M6" s="75" t="s">
        <v>108</v>
      </c>
      <c r="N6" s="78" t="s">
        <v>106</v>
      </c>
      <c r="O6" s="77" t="s">
        <v>108</v>
      </c>
      <c r="P6" s="76" t="s">
        <v>106</v>
      </c>
      <c r="R6" s="77" t="s">
        <v>102</v>
      </c>
      <c r="S6" s="76" t="s">
        <v>103</v>
      </c>
      <c r="T6" s="75" t="s">
        <v>97</v>
      </c>
      <c r="U6" s="78" t="s">
        <v>100</v>
      </c>
      <c r="V6" s="75" t="s">
        <v>97</v>
      </c>
      <c r="W6" s="78" t="s">
        <v>100</v>
      </c>
      <c r="Z6" s="73">
        <v>4</v>
      </c>
      <c r="AA6" s="74" t="str">
        <f>IF(AH6="×","",分銅情報入力シート!C14)</f>
        <v/>
      </c>
      <c r="AB6" s="74" t="str">
        <f>IF(AH6="×","",分銅情報入力シート!D14)</f>
        <v/>
      </c>
      <c r="AC6" s="74" t="str">
        <f>IF(AH6="×","",分銅情報入力シート!E14)</f>
        <v/>
      </c>
      <c r="AD6" s="99" t="str">
        <f>IF(AH6="×","",IF(OR(分銅情報入力シート!F14="",分銅情報入力シート!F14="　"),"",分銅情報入力シート!F14))</f>
        <v/>
      </c>
      <c r="AE6" s="101" t="str">
        <f>IF(AH6="×","",分銅情報入力シート!G14)</f>
        <v/>
      </c>
      <c r="AG6" t="str">
        <f t="shared" si="0"/>
        <v/>
      </c>
      <c r="AH6" s="70" t="str">
        <f>IF(AND(分銅情報入力シート!C14&lt;&gt;"",分銅情報入力シート!D14&lt;&gt;"",分銅情報入力シート!E14&lt;&gt;"",分銅情報入力シート!G14&lt;&gt;""),"〇","×")</f>
        <v>×</v>
      </c>
    </row>
    <row r="7" spans="1:34">
      <c r="A7" s="70" t="s">
        <v>111</v>
      </c>
      <c r="B7" s="75"/>
      <c r="C7" s="76"/>
      <c r="D7" s="77" t="s">
        <v>97</v>
      </c>
      <c r="E7" s="76" t="s">
        <v>97</v>
      </c>
      <c r="F7" s="75" t="s">
        <v>97</v>
      </c>
      <c r="G7" s="78" t="s">
        <v>97</v>
      </c>
      <c r="K7" s="77"/>
      <c r="L7" s="76"/>
      <c r="M7" s="75" t="s">
        <v>97</v>
      </c>
      <c r="N7" s="78" t="s">
        <v>100</v>
      </c>
      <c r="O7" s="77" t="s">
        <v>97</v>
      </c>
      <c r="P7" s="76" t="s">
        <v>100</v>
      </c>
      <c r="Z7" s="73">
        <v>5</v>
      </c>
      <c r="AA7" s="74" t="str">
        <f>IF(AH7="×","",分銅情報入力シート!C15)</f>
        <v/>
      </c>
      <c r="AB7" s="74" t="str">
        <f>IF(AH7="×","",分銅情報入力シート!D15)</f>
        <v/>
      </c>
      <c r="AC7" s="74" t="str">
        <f>IF(AH7="×","",分銅情報入力シート!E15)</f>
        <v/>
      </c>
      <c r="AD7" s="99" t="str">
        <f>IF(AH7="×","",IF(OR(分銅情報入力シート!F15="",分銅情報入力シート!F15="　"),"",分銅情報入力シート!F15))</f>
        <v/>
      </c>
      <c r="AE7" s="101" t="str">
        <f>IF(AH7="×","",分銅情報入力シート!G15)</f>
        <v/>
      </c>
      <c r="AG7" t="str">
        <f t="shared" si="0"/>
        <v/>
      </c>
      <c r="AH7" s="70" t="str">
        <f>IF(AND(分銅情報入力シート!C15&lt;&gt;"",分銅情報入力シート!D15&lt;&gt;"",分銅情報入力シート!E15&lt;&gt;"",分銅情報入力シート!G15&lt;&gt;""),"〇","×")</f>
        <v>×</v>
      </c>
    </row>
    <row r="8" spans="1:34">
      <c r="A8" s="70" t="s">
        <v>112</v>
      </c>
      <c r="B8" s="75"/>
      <c r="C8" s="76"/>
      <c r="D8" s="77" t="s">
        <v>98</v>
      </c>
      <c r="E8" s="76" t="s">
        <v>98</v>
      </c>
      <c r="F8" s="75" t="s">
        <v>98</v>
      </c>
      <c r="G8" s="78" t="s">
        <v>98</v>
      </c>
      <c r="Z8" s="73">
        <v>6</v>
      </c>
      <c r="AA8" s="74" t="str">
        <f>IF(AH8="×","",分銅情報入力シート!C16)</f>
        <v/>
      </c>
      <c r="AB8" s="74" t="str">
        <f>IF(AH8="×","",分銅情報入力シート!D16)</f>
        <v/>
      </c>
      <c r="AC8" s="74" t="str">
        <f>IF(AH8="×","",分銅情報入力シート!E16)</f>
        <v/>
      </c>
      <c r="AD8" s="99" t="str">
        <f>IF(AH8="×","",IF(OR(分銅情報入力シート!F16="",分銅情報入力シート!F16="　"),"",分銅情報入力シート!F16))</f>
        <v/>
      </c>
      <c r="AE8" s="101" t="str">
        <f>IF(AH8="×","",分銅情報入力シート!G16)</f>
        <v/>
      </c>
      <c r="AG8" t="str">
        <f t="shared" si="0"/>
        <v/>
      </c>
      <c r="AH8" s="70" t="str">
        <f>IF(AND(分銅情報入力シート!C16&lt;&gt;"",分銅情報入力シート!D16&lt;&gt;"",分銅情報入力シート!E16&lt;&gt;"",分銅情報入力シート!G16&lt;&gt;""),"〇","×")</f>
        <v>×</v>
      </c>
    </row>
    <row r="9" spans="1:34">
      <c r="A9" s="70" t="s">
        <v>113</v>
      </c>
      <c r="B9" s="75"/>
      <c r="C9" s="76"/>
      <c r="D9" s="77" t="s">
        <v>99</v>
      </c>
      <c r="E9" s="76" t="s">
        <v>99</v>
      </c>
      <c r="F9" s="75" t="s">
        <v>99</v>
      </c>
      <c r="G9" s="78" t="s">
        <v>99</v>
      </c>
      <c r="Z9" s="73">
        <v>7</v>
      </c>
      <c r="AA9" s="74" t="str">
        <f>IF(AH9="×","",分銅情報入力シート!C17)</f>
        <v/>
      </c>
      <c r="AB9" s="74" t="str">
        <f>IF(AH9="×","",分銅情報入力シート!D17)</f>
        <v/>
      </c>
      <c r="AC9" s="74" t="str">
        <f>IF(AH9="×","",分銅情報入力シート!E17)</f>
        <v/>
      </c>
      <c r="AD9" s="99" t="str">
        <f>IF(AH9="×","",IF(OR(分銅情報入力シート!F17="",分銅情報入力シート!F17="　"),"",分銅情報入力シート!F17))</f>
        <v/>
      </c>
      <c r="AE9" s="101" t="str">
        <f>IF(AH9="×","",分銅情報入力シート!G17)</f>
        <v/>
      </c>
      <c r="AG9" t="str">
        <f t="shared" si="0"/>
        <v/>
      </c>
      <c r="AH9" s="70" t="str">
        <f>IF(AND(分銅情報入力シート!C17&lt;&gt;"",分銅情報入力シート!D17&lt;&gt;"",分銅情報入力シート!E17&lt;&gt;"",分銅情報入力シート!G17&lt;&gt;""),"〇","×")</f>
        <v>×</v>
      </c>
    </row>
    <row r="10" spans="1:34">
      <c r="A10" s="70" t="s">
        <v>114</v>
      </c>
      <c r="B10" s="75"/>
      <c r="C10" s="76"/>
      <c r="D10" s="77" t="s">
        <v>100</v>
      </c>
      <c r="E10" s="76" t="s">
        <v>100</v>
      </c>
      <c r="F10" s="75" t="s">
        <v>100</v>
      </c>
      <c r="G10" s="78" t="s">
        <v>100</v>
      </c>
      <c r="Z10" s="73">
        <v>8</v>
      </c>
      <c r="AA10" s="74" t="str">
        <f>IF(AH10="×","",分銅情報入力シート!C18)</f>
        <v/>
      </c>
      <c r="AB10" s="74" t="str">
        <f>IF(AH10="×","",分銅情報入力シート!D18)</f>
        <v/>
      </c>
      <c r="AC10" s="74" t="str">
        <f>IF(AH10="×","",分銅情報入力シート!E18)</f>
        <v/>
      </c>
      <c r="AD10" s="99" t="str">
        <f>IF(AH10="×","",IF(OR(分銅情報入力シート!F18="",分銅情報入力シート!F18="　"),"",分銅情報入力シート!F18))</f>
        <v/>
      </c>
      <c r="AE10" s="101" t="str">
        <f>IF(AH10="×","",分銅情報入力シート!G18)</f>
        <v/>
      </c>
      <c r="AG10" t="str">
        <f t="shared" si="0"/>
        <v/>
      </c>
      <c r="AH10" s="70" t="str">
        <f>IF(AND(分銅情報入力シート!C18&lt;&gt;"",分銅情報入力シート!D18&lt;&gt;"",分銅情報入力シート!E18&lt;&gt;"",分銅情報入力シート!G18&lt;&gt;""),"〇","×")</f>
        <v>×</v>
      </c>
    </row>
    <row r="11" spans="1:34">
      <c r="Z11" s="73">
        <v>9</v>
      </c>
      <c r="AA11" s="74" t="str">
        <f>IF(AH11="×","",分銅情報入力シート!C19)</f>
        <v/>
      </c>
      <c r="AB11" s="74" t="str">
        <f>IF(AH11="×","",分銅情報入力シート!D19)</f>
        <v/>
      </c>
      <c r="AC11" s="74" t="str">
        <f>IF(AH11="×","",分銅情報入力シート!E19)</f>
        <v/>
      </c>
      <c r="AD11" s="99" t="str">
        <f>IF(AH11="×","",IF(OR(分銅情報入力シート!F19="",分銅情報入力シート!F19="　"),"",分銅情報入力シート!F19))</f>
        <v/>
      </c>
      <c r="AE11" s="101" t="str">
        <f>IF(AH11="×","",分銅情報入力シート!G19)</f>
        <v/>
      </c>
      <c r="AG11" t="str">
        <f t="shared" si="0"/>
        <v/>
      </c>
      <c r="AH11" s="70" t="str">
        <f>IF(AND(分銅情報入力シート!C19&lt;&gt;"",分銅情報入力シート!D19&lt;&gt;"",分銅情報入力シート!E19&lt;&gt;"",分銅情報入力シート!G19&lt;&gt;""),"〇","×")</f>
        <v>×</v>
      </c>
    </row>
    <row r="12" spans="1:34">
      <c r="Z12" s="73">
        <v>10</v>
      </c>
      <c r="AA12" s="74" t="str">
        <f>IF(AH12="×","",分銅情報入力シート!C20)</f>
        <v/>
      </c>
      <c r="AB12" s="74" t="str">
        <f>IF(AH12="×","",分銅情報入力シート!D20)</f>
        <v/>
      </c>
      <c r="AC12" s="74" t="str">
        <f>IF(AH12="×","",分銅情報入力シート!E20)</f>
        <v/>
      </c>
      <c r="AD12" s="99" t="str">
        <f>IF(AH12="×","",IF(OR(分銅情報入力シート!F20="",分銅情報入力シート!F20="　"),"",分銅情報入力シート!F20))</f>
        <v/>
      </c>
      <c r="AE12" s="101" t="str">
        <f>IF(AH12="×","",分銅情報入力シート!G20)</f>
        <v/>
      </c>
      <c r="AG12" t="str">
        <f t="shared" si="0"/>
        <v/>
      </c>
      <c r="AH12" s="70" t="str">
        <f>IF(AND(分銅情報入力シート!C20&lt;&gt;"",分銅情報入力シート!D20&lt;&gt;"",分銅情報入力シート!E20&lt;&gt;"",分銅情報入力シート!G20&lt;&gt;""),"〇","×")</f>
        <v>×</v>
      </c>
    </row>
    <row r="13" spans="1:34">
      <c r="Z13" s="73">
        <v>11</v>
      </c>
      <c r="AA13" s="74" t="str">
        <f>IF(AH13="×","",分銅情報入力シート!C21)</f>
        <v/>
      </c>
      <c r="AB13" s="74" t="str">
        <f>IF(AH13="×","",分銅情報入力シート!D21)</f>
        <v/>
      </c>
      <c r="AC13" s="74" t="str">
        <f>IF(AH13="×","",分銅情報入力シート!E21)</f>
        <v/>
      </c>
      <c r="AD13" s="99" t="str">
        <f>IF(AH13="×","",IF(OR(分銅情報入力シート!F21="",分銅情報入力シート!F21="　"),"",分銅情報入力シート!F21))</f>
        <v/>
      </c>
      <c r="AE13" s="101" t="str">
        <f>IF(AH13="×","",分銅情報入力シート!G21)</f>
        <v/>
      </c>
      <c r="AG13" t="str">
        <f t="shared" si="0"/>
        <v/>
      </c>
      <c r="AH13" s="70" t="str">
        <f>IF(AND(分銅情報入力シート!C21&lt;&gt;"",分銅情報入力シート!D21&lt;&gt;"",分銅情報入力シート!E21&lt;&gt;"",分銅情報入力シート!G21&lt;&gt;""),"〇","×")</f>
        <v>×</v>
      </c>
    </row>
    <row r="14" spans="1:34">
      <c r="Z14" s="73">
        <v>12</v>
      </c>
      <c r="AA14" s="74" t="str">
        <f>IF(AH14="×","",分銅情報入力シート!C22)</f>
        <v/>
      </c>
      <c r="AB14" s="74" t="str">
        <f>IF(AH14="×","",分銅情報入力シート!D22)</f>
        <v/>
      </c>
      <c r="AC14" s="74" t="str">
        <f>IF(AH14="×","",分銅情報入力シート!E22)</f>
        <v/>
      </c>
      <c r="AD14" s="99" t="str">
        <f>IF(AH14="×","",IF(OR(分銅情報入力シート!F22="",分銅情報入力シート!F22="　"),"",分銅情報入力シート!F22))</f>
        <v/>
      </c>
      <c r="AE14" s="101" t="str">
        <f>IF(AH14="×","",分銅情報入力シート!G22)</f>
        <v/>
      </c>
      <c r="AG14" t="str">
        <f t="shared" si="0"/>
        <v/>
      </c>
      <c r="AH14" s="70" t="str">
        <f>IF(AND(分銅情報入力シート!C22&lt;&gt;"",分銅情報入力シート!D22&lt;&gt;"",分銅情報入力シート!E22&lt;&gt;"",分銅情報入力シート!G22&lt;&gt;""),"〇","×")</f>
        <v>×</v>
      </c>
    </row>
    <row r="15" spans="1:34">
      <c r="A15" s="70" t="s">
        <v>137</v>
      </c>
      <c r="B15" s="304" t="s">
        <v>93</v>
      </c>
      <c r="C15" s="304"/>
      <c r="D15" s="304"/>
      <c r="E15" s="304"/>
      <c r="F15" s="304"/>
      <c r="G15" s="304"/>
      <c r="K15" s="304" t="s">
        <v>94</v>
      </c>
      <c r="L15" s="304"/>
      <c r="M15" s="304"/>
      <c r="N15" s="304"/>
      <c r="O15" s="304"/>
      <c r="P15" s="304"/>
      <c r="R15" s="304" t="s">
        <v>95</v>
      </c>
      <c r="S15" s="304"/>
      <c r="T15" s="304"/>
      <c r="U15" s="304"/>
      <c r="V15" s="304"/>
      <c r="W15" s="304"/>
      <c r="Z15" s="73">
        <v>13</v>
      </c>
      <c r="AA15" s="74" t="str">
        <f>IF(AH15="×","",分銅情報入力シート!C23)</f>
        <v/>
      </c>
      <c r="AB15" s="74" t="str">
        <f>IF(AH15="×","",分銅情報入力シート!D23)</f>
        <v/>
      </c>
      <c r="AC15" s="74" t="str">
        <f>IF(AH15="×","",分銅情報入力シート!E23)</f>
        <v/>
      </c>
      <c r="AD15" s="99" t="str">
        <f>IF(AH15="×","",IF(OR(分銅情報入力シート!F23="",分銅情報入力シート!F23="　"),"",分銅情報入力シート!F23))</f>
        <v/>
      </c>
      <c r="AE15" s="101" t="str">
        <f>IF(AH15="×","",分銅情報入力シート!G23)</f>
        <v/>
      </c>
      <c r="AG15" t="str">
        <f t="shared" si="0"/>
        <v/>
      </c>
      <c r="AH15" s="70" t="str">
        <f>IF(AND(分銅情報入力シート!C23&lt;&gt;"",分銅情報入力シート!D23&lt;&gt;"",分銅情報入力シート!E23&lt;&gt;"",分銅情報入力シート!G23&lt;&gt;""),"〇","×")</f>
        <v>×</v>
      </c>
    </row>
    <row r="16" spans="1:34">
      <c r="B16" s="304" t="s">
        <v>147</v>
      </c>
      <c r="C16" s="304"/>
      <c r="D16" s="304" t="s">
        <v>148</v>
      </c>
      <c r="E16" s="304"/>
      <c r="F16" s="304" t="s">
        <v>149</v>
      </c>
      <c r="G16" s="304"/>
      <c r="K16" s="304" t="s">
        <v>147</v>
      </c>
      <c r="L16" s="304"/>
      <c r="M16" s="304" t="s">
        <v>148</v>
      </c>
      <c r="N16" s="304"/>
      <c r="O16" s="304" t="s">
        <v>149</v>
      </c>
      <c r="P16" s="304"/>
      <c r="R16" s="304" t="s">
        <v>147</v>
      </c>
      <c r="S16" s="304"/>
      <c r="T16" s="304" t="s">
        <v>148</v>
      </c>
      <c r="U16" s="304"/>
      <c r="V16" s="304" t="s">
        <v>149</v>
      </c>
      <c r="W16" s="304"/>
      <c r="Z16" s="73">
        <v>14</v>
      </c>
      <c r="AA16" s="74" t="str">
        <f>IF(AH16="×","",分銅情報入力シート!C24)</f>
        <v/>
      </c>
      <c r="AB16" s="74" t="str">
        <f>IF(AH16="×","",分銅情報入力シート!D24)</f>
        <v/>
      </c>
      <c r="AC16" s="74" t="str">
        <f>IF(AH16="×","",分銅情報入力シート!E24)</f>
        <v/>
      </c>
      <c r="AD16" s="99" t="str">
        <f>IF(AH16="×","",IF(OR(分銅情報入力シート!F24="",分銅情報入力シート!F24="　"),"",分銅情報入力シート!F24))</f>
        <v/>
      </c>
      <c r="AE16" s="101" t="str">
        <f>IF(AH16="×","",分銅情報入力シート!G24)</f>
        <v/>
      </c>
      <c r="AG16" t="str">
        <f t="shared" si="0"/>
        <v/>
      </c>
      <c r="AH16" s="70" t="str">
        <f>IF(AND(分銅情報入力シート!C24&lt;&gt;"",分銅情報入力シート!D24&lt;&gt;"",分銅情報入力シート!E24&lt;&gt;"",分銅情報入力シート!G24&lt;&gt;""),"〇","×")</f>
        <v>×</v>
      </c>
    </row>
    <row r="17" spans="1:34">
      <c r="A17" s="70" t="s">
        <v>109</v>
      </c>
      <c r="B17" s="300">
        <f t="shared" ref="B17:C17" si="1">COUNTIFS($AG$3:$AG$102,"&gt;=0.001",$AG$3:$AG$102,"&lt;=200")</f>
        <v>0</v>
      </c>
      <c r="C17" s="300">
        <f t="shared" si="1"/>
        <v>0</v>
      </c>
      <c r="D17" s="300">
        <f t="shared" ref="D17:G17" si="2">COUNTIFS($AG$3:$AG$102,"&gt;=0.01",$AG$3:$AG$102,"&lt;=5000")</f>
        <v>0</v>
      </c>
      <c r="E17" s="300">
        <f t="shared" si="2"/>
        <v>0</v>
      </c>
      <c r="F17" s="300">
        <f t="shared" si="2"/>
        <v>0</v>
      </c>
      <c r="G17" s="300">
        <f t="shared" si="2"/>
        <v>0</v>
      </c>
      <c r="K17" s="305">
        <f t="shared" ref="K17:L17" si="3">COUNTIFS($AG$3:$AG$102,"&gt;=0.001",$AG$3:$AG$102,"&lt;=200")</f>
        <v>0</v>
      </c>
      <c r="L17" s="306">
        <f t="shared" si="3"/>
        <v>0</v>
      </c>
      <c r="M17" s="300">
        <f t="shared" ref="M17:P17" si="4">COUNTIFS($AG$3:$AG$102,"&gt;=0.01",$AG$3:$AG$102,"&lt;=5000")</f>
        <v>0</v>
      </c>
      <c r="N17" s="300">
        <f t="shared" si="4"/>
        <v>0</v>
      </c>
      <c r="O17" s="300">
        <f t="shared" si="4"/>
        <v>0</v>
      </c>
      <c r="P17" s="300">
        <f t="shared" si="4"/>
        <v>0</v>
      </c>
      <c r="R17" s="300">
        <f t="shared" ref="R17:S17" si="5">COUNTIFS($AG$3:$AG$102,"&gt;=0.001",$AG$3:$AG$102,"&lt;=200")</f>
        <v>0</v>
      </c>
      <c r="S17" s="300">
        <f t="shared" si="5"/>
        <v>0</v>
      </c>
      <c r="T17" s="300">
        <f t="shared" ref="T17:W17" si="6">COUNTIFS($AG$3:$AG$102,"&gt;=0.01",$AG$3:$AG$102,"&lt;=50000")</f>
        <v>0</v>
      </c>
      <c r="U17" s="300">
        <f t="shared" si="6"/>
        <v>0</v>
      </c>
      <c r="V17" s="300">
        <f t="shared" si="6"/>
        <v>0</v>
      </c>
      <c r="W17" s="300">
        <f t="shared" si="6"/>
        <v>0</v>
      </c>
      <c r="Z17" s="73">
        <v>15</v>
      </c>
      <c r="AA17" s="74" t="str">
        <f>IF(AH17="×","",分銅情報入力シート!C25)</f>
        <v/>
      </c>
      <c r="AB17" s="74" t="str">
        <f>IF(AH17="×","",分銅情報入力シート!D25)</f>
        <v/>
      </c>
      <c r="AC17" s="74" t="str">
        <f>IF(AH17="×","",分銅情報入力シート!E25)</f>
        <v/>
      </c>
      <c r="AD17" s="99" t="str">
        <f>IF(AH17="×","",IF(OR(分銅情報入力シート!F25="",分銅情報入力シート!F25="　"),"",分銅情報入力シート!F25))</f>
        <v/>
      </c>
      <c r="AE17" s="101" t="str">
        <f>IF(AH17="×","",分銅情報入力シート!G25)</f>
        <v/>
      </c>
      <c r="AG17" t="str">
        <f t="shared" si="0"/>
        <v/>
      </c>
      <c r="AH17" s="70" t="str">
        <f>IF(AND(分銅情報入力シート!C25&lt;&gt;"",分銅情報入力シート!D25&lt;&gt;"",分銅情報入力シート!E25&lt;&gt;"",分銅情報入力シート!G25&lt;&gt;""),"〇","×")</f>
        <v>×</v>
      </c>
    </row>
    <row r="18" spans="1:34">
      <c r="A18" s="70" t="s">
        <v>110</v>
      </c>
      <c r="B18" s="300">
        <f t="shared" ref="B18:C18" si="7">COUNTIFS($AG$3:$AG$102,"&gt;=500",$AG$3:$AG$102,"&lt;=20000")</f>
        <v>0</v>
      </c>
      <c r="C18" s="300">
        <f t="shared" si="7"/>
        <v>0</v>
      </c>
      <c r="D18" s="300">
        <f t="shared" ref="D18:G18" si="8">COUNTIFS($AG$3:$AG$102,"&gt;=10000",$AG$3:$AG$102,"&lt;=50000")</f>
        <v>0</v>
      </c>
      <c r="E18" s="300">
        <f t="shared" si="8"/>
        <v>0</v>
      </c>
      <c r="F18" s="300">
        <f t="shared" si="8"/>
        <v>0</v>
      </c>
      <c r="G18" s="300">
        <f t="shared" si="8"/>
        <v>0</v>
      </c>
      <c r="K18" s="305">
        <f t="shared" ref="K18:L18" si="9">COUNTIFS($AG$3:$AG$102,"&gt;=500",$AG$3:$AG$102,"&lt;=20000")</f>
        <v>0</v>
      </c>
      <c r="L18" s="306">
        <f t="shared" si="9"/>
        <v>0</v>
      </c>
      <c r="M18" s="300">
        <f t="shared" ref="M18:P18" si="10">COUNTIFS($AG$3:$AG$102,"&gt;=10000",$AG$3:$AG$102,"&lt;=50000")</f>
        <v>0</v>
      </c>
      <c r="N18" s="300">
        <f t="shared" si="10"/>
        <v>0</v>
      </c>
      <c r="O18" s="300">
        <f t="shared" si="10"/>
        <v>0</v>
      </c>
      <c r="P18" s="300">
        <f t="shared" si="10"/>
        <v>0</v>
      </c>
      <c r="R18" s="300">
        <f t="shared" ref="R18:S18" si="11">COUNTIFS($AG$3:$AG$102,"&gt;=500",$AG$3:$AG$102,"&lt;=20000")</f>
        <v>0</v>
      </c>
      <c r="S18" s="300">
        <f t="shared" si="11"/>
        <v>0</v>
      </c>
      <c r="T18" s="300">
        <f t="shared" ref="T18:W18" si="12">COUNTIFS($AG$3:$AG$102,"&gt;=100000",$AG$3:$AG$102,"&lt;=1000000")</f>
        <v>0</v>
      </c>
      <c r="U18" s="300">
        <f t="shared" si="12"/>
        <v>0</v>
      </c>
      <c r="V18" s="300">
        <f t="shared" si="12"/>
        <v>0</v>
      </c>
      <c r="W18" s="300">
        <f t="shared" si="12"/>
        <v>0</v>
      </c>
      <c r="Z18" s="73">
        <v>16</v>
      </c>
      <c r="AA18" s="74" t="str">
        <f>IF(AH18="×","",分銅情報入力シート!I11)</f>
        <v/>
      </c>
      <c r="AB18" s="74" t="str">
        <f>IF(AH18="×","",分銅情報入力シート!J11)</f>
        <v/>
      </c>
      <c r="AC18" s="74" t="str">
        <f>IF(AH18="×","",分銅情報入力シート!K11)</f>
        <v/>
      </c>
      <c r="AD18" s="99" t="str">
        <f>IF(AH18="×","",IF(OR(分銅情報入力シート!L11="",分銅情報入力シート!L11="　"),"",分銅情報入力シート!L11))</f>
        <v/>
      </c>
      <c r="AE18" s="101" t="str">
        <f>IF(AH18="×","",分銅情報入力シート!M11)</f>
        <v/>
      </c>
      <c r="AG18" t="str">
        <f t="shared" si="0"/>
        <v/>
      </c>
      <c r="AH18" s="70" t="str">
        <f>IF(AND(分銅情報入力シート!I11&lt;&gt;"",分銅情報入力シート!I11&lt;&gt;"",分銅情報入力シート!I11&lt;&gt;"",分銅情報入力シート!I11&lt;&gt;""),"〇","×")</f>
        <v>×</v>
      </c>
    </row>
    <row r="19" spans="1:34">
      <c r="A19" s="70" t="s">
        <v>111</v>
      </c>
      <c r="B19" s="300"/>
      <c r="C19" s="300"/>
      <c r="D19" s="300">
        <f t="shared" ref="D19:G19" si="13">COUNTIFS($AG$3:$AG$102,"&gt;=100000",$AG$3:$AG$102,"&lt;=100000")</f>
        <v>0</v>
      </c>
      <c r="E19" s="300">
        <f t="shared" si="13"/>
        <v>0</v>
      </c>
      <c r="F19" s="300">
        <f t="shared" si="13"/>
        <v>0</v>
      </c>
      <c r="G19" s="300">
        <f t="shared" si="13"/>
        <v>0</v>
      </c>
      <c r="K19" s="300"/>
      <c r="L19" s="300"/>
      <c r="M19" s="300">
        <f t="shared" ref="M19:P19" si="14">COUNTIFS($AG$3:$AG$102,"&gt;=100000",$AG$3:$AG$102,"&lt;=1000000")</f>
        <v>0</v>
      </c>
      <c r="N19" s="300">
        <f t="shared" si="14"/>
        <v>0</v>
      </c>
      <c r="O19" s="300">
        <f t="shared" si="14"/>
        <v>0</v>
      </c>
      <c r="P19" s="300">
        <f t="shared" si="14"/>
        <v>0</v>
      </c>
      <c r="R19" s="307"/>
      <c r="S19" s="307"/>
      <c r="T19" s="307"/>
      <c r="U19" s="307"/>
      <c r="V19" s="307"/>
      <c r="W19" s="307"/>
      <c r="Z19" s="73">
        <v>17</v>
      </c>
      <c r="AA19" s="74" t="str">
        <f>IF(AH19="×","",分銅情報入力シート!I12)</f>
        <v/>
      </c>
      <c r="AB19" s="74" t="str">
        <f>IF(AH19="×","",分銅情報入力シート!J12)</f>
        <v/>
      </c>
      <c r="AC19" s="74" t="str">
        <f>IF(AH19="×","",分銅情報入力シート!K12)</f>
        <v/>
      </c>
      <c r="AD19" s="99" t="str">
        <f>IF(AH19="×","",IF(OR(分銅情報入力シート!L12="",分銅情報入力シート!L12="　"),"",分銅情報入力シート!L12))</f>
        <v/>
      </c>
      <c r="AE19" s="101" t="str">
        <f>IF(AH19="×","",分銅情報入力シート!M12)</f>
        <v/>
      </c>
      <c r="AG19" t="str">
        <f t="shared" si="0"/>
        <v/>
      </c>
      <c r="AH19" s="70" t="str">
        <f>IF(AND(分銅情報入力シート!I12&lt;&gt;"",分銅情報入力シート!I12&lt;&gt;"",分銅情報入力シート!I12&lt;&gt;"",分銅情報入力シート!I12&lt;&gt;""),"〇","×")</f>
        <v>×</v>
      </c>
    </row>
    <row r="20" spans="1:34">
      <c r="A20" s="70" t="s">
        <v>112</v>
      </c>
      <c r="B20" s="300"/>
      <c r="C20" s="300"/>
      <c r="D20" s="300">
        <f t="shared" ref="D20:G20" si="15">COUNTIFS($AG$3:$AG$102,"&gt;=200000",$AG$3:$AG$102,"&lt;=200000")</f>
        <v>0</v>
      </c>
      <c r="E20" s="300">
        <f t="shared" si="15"/>
        <v>0</v>
      </c>
      <c r="F20" s="300">
        <f t="shared" si="15"/>
        <v>0</v>
      </c>
      <c r="G20" s="300">
        <f t="shared" si="15"/>
        <v>0</v>
      </c>
      <c r="K20" s="307"/>
      <c r="L20" s="307"/>
      <c r="M20" s="307"/>
      <c r="N20" s="307"/>
      <c r="O20" s="307"/>
      <c r="P20" s="307"/>
      <c r="R20" s="307"/>
      <c r="S20" s="307"/>
      <c r="T20" s="307"/>
      <c r="U20" s="307"/>
      <c r="V20" s="307"/>
      <c r="W20" s="307"/>
      <c r="Z20" s="73">
        <v>18</v>
      </c>
      <c r="AA20" s="74" t="str">
        <f>IF(AH20="×","",分銅情報入力シート!I13)</f>
        <v/>
      </c>
      <c r="AB20" s="74" t="str">
        <f>IF(AH20="×","",分銅情報入力シート!J13)</f>
        <v/>
      </c>
      <c r="AC20" s="74" t="str">
        <f>IF(AH20="×","",分銅情報入力シート!K13)</f>
        <v/>
      </c>
      <c r="AD20" s="99" t="str">
        <f>IF(AH20="×","",IF(OR(分銅情報入力シート!L13="",分銅情報入力シート!L13="　"),"",分銅情報入力シート!L13))</f>
        <v/>
      </c>
      <c r="AE20" s="101" t="str">
        <f>IF(AH20="×","",分銅情報入力シート!M13)</f>
        <v/>
      </c>
      <c r="AG20" t="str">
        <f t="shared" si="0"/>
        <v/>
      </c>
      <c r="AH20" s="70" t="str">
        <f>IF(AND(分銅情報入力シート!I13&lt;&gt;"",分銅情報入力シート!I13&lt;&gt;"",分銅情報入力シート!I13&lt;&gt;"",分銅情報入力シート!I13&lt;&gt;""),"〇","×")</f>
        <v>×</v>
      </c>
    </row>
    <row r="21" spans="1:34">
      <c r="A21" s="70" t="s">
        <v>113</v>
      </c>
      <c r="B21" s="300"/>
      <c r="C21" s="300"/>
      <c r="D21" s="300">
        <f t="shared" ref="D21:G21" si="16">COUNTIFS($AG$3:$AG$102,"&gt;=500000",$AG$3:$AG$102,"&lt;=500000")</f>
        <v>0</v>
      </c>
      <c r="E21" s="300">
        <f t="shared" si="16"/>
        <v>0</v>
      </c>
      <c r="F21" s="300">
        <f t="shared" si="16"/>
        <v>0</v>
      </c>
      <c r="G21" s="300">
        <f t="shared" si="16"/>
        <v>0</v>
      </c>
      <c r="K21" s="307"/>
      <c r="L21" s="307"/>
      <c r="M21" s="307"/>
      <c r="N21" s="307"/>
      <c r="O21" s="307"/>
      <c r="P21" s="307"/>
      <c r="R21" s="307"/>
      <c r="S21" s="307"/>
      <c r="T21" s="307"/>
      <c r="U21" s="307"/>
      <c r="V21" s="307"/>
      <c r="W21" s="307"/>
      <c r="Z21" s="73">
        <v>19</v>
      </c>
      <c r="AA21" s="74" t="str">
        <f>IF(AH21="×","",分銅情報入力シート!I14)</f>
        <v/>
      </c>
      <c r="AB21" s="74" t="str">
        <f>IF(AH21="×","",分銅情報入力シート!J14)</f>
        <v/>
      </c>
      <c r="AC21" s="74" t="str">
        <f>IF(AH21="×","",分銅情報入力シート!K14)</f>
        <v/>
      </c>
      <c r="AD21" s="99" t="str">
        <f>IF(AH21="×","",IF(OR(分銅情報入力シート!L14="",分銅情報入力シート!L14="　"),"",分銅情報入力シート!L14))</f>
        <v/>
      </c>
      <c r="AE21" s="101" t="str">
        <f>IF(AH21="×","",分銅情報入力シート!M14)</f>
        <v/>
      </c>
      <c r="AG21" t="str">
        <f t="shared" si="0"/>
        <v/>
      </c>
      <c r="AH21" s="70" t="str">
        <f>IF(AND(分銅情報入力シート!I14&lt;&gt;"",分銅情報入力シート!I14&lt;&gt;"",分銅情報入力シート!I14&lt;&gt;"",分銅情報入力シート!I14&lt;&gt;""),"〇","×")</f>
        <v>×</v>
      </c>
    </row>
    <row r="22" spans="1:34">
      <c r="A22" s="70" t="s">
        <v>114</v>
      </c>
      <c r="B22" s="300"/>
      <c r="C22" s="300"/>
      <c r="D22" s="300">
        <f t="shared" ref="D22:G22" si="17">COUNTIFS($AG$3:$AG$102,"&gt;=1000000",$AG$3:$AG$102,"&lt;=1000000")</f>
        <v>0</v>
      </c>
      <c r="E22" s="300">
        <f t="shared" si="17"/>
        <v>0</v>
      </c>
      <c r="F22" s="300">
        <f t="shared" si="17"/>
        <v>0</v>
      </c>
      <c r="G22" s="300">
        <f t="shared" si="17"/>
        <v>0</v>
      </c>
      <c r="K22" s="307"/>
      <c r="L22" s="307"/>
      <c r="M22" s="307"/>
      <c r="N22" s="307"/>
      <c r="O22" s="307"/>
      <c r="P22" s="307"/>
      <c r="R22" s="307"/>
      <c r="S22" s="307"/>
      <c r="T22" s="307"/>
      <c r="U22" s="307"/>
      <c r="V22" s="307"/>
      <c r="W22" s="307"/>
      <c r="Z22" s="73">
        <v>20</v>
      </c>
      <c r="AA22" s="74" t="str">
        <f>IF(AH22="×","",分銅情報入力シート!I15)</f>
        <v/>
      </c>
      <c r="AB22" s="74" t="str">
        <f>IF(AH22="×","",分銅情報入力シート!J15)</f>
        <v/>
      </c>
      <c r="AC22" s="74" t="str">
        <f>IF(AH22="×","",分銅情報入力シート!K15)</f>
        <v/>
      </c>
      <c r="AD22" s="99" t="str">
        <f>IF(AH22="×","",IF(OR(分銅情報入力シート!L15="",分銅情報入力シート!L15="　"),"",分銅情報入力シート!L15))</f>
        <v/>
      </c>
      <c r="AE22" s="101" t="str">
        <f>IF(AH22="×","",分銅情報入力シート!M15)</f>
        <v/>
      </c>
      <c r="AG22" t="str">
        <f t="shared" si="0"/>
        <v/>
      </c>
      <c r="AH22" s="70" t="str">
        <f>IF(AND(分銅情報入力シート!I15&lt;&gt;"",分銅情報入力シート!I15&lt;&gt;"",分銅情報入力シート!I15&lt;&gt;"",分銅情報入力シート!I15&lt;&gt;""),"〇","×")</f>
        <v>×</v>
      </c>
    </row>
    <row r="23" spans="1:34">
      <c r="Z23" s="73">
        <v>21</v>
      </c>
      <c r="AA23" s="74" t="str">
        <f>IF(AH23="×","",分銅情報入力シート!I16)</f>
        <v/>
      </c>
      <c r="AB23" s="74" t="str">
        <f>IF(AH23="×","",分銅情報入力シート!J16)</f>
        <v/>
      </c>
      <c r="AC23" s="74" t="str">
        <f>IF(AH23="×","",分銅情報入力シート!K16)</f>
        <v/>
      </c>
      <c r="AD23" s="99" t="str">
        <f>IF(AH23="×","",IF(OR(分銅情報入力シート!L16="",分銅情報入力シート!L16="　"),"",分銅情報入力シート!L16))</f>
        <v/>
      </c>
      <c r="AE23" s="101" t="str">
        <f>IF(AH23="×","",分銅情報入力シート!M16)</f>
        <v/>
      </c>
      <c r="AG23" t="str">
        <f t="shared" si="0"/>
        <v/>
      </c>
      <c r="AH23" s="70" t="str">
        <f>IF(AND(分銅情報入力シート!I16&lt;&gt;"",分銅情報入力シート!I16&lt;&gt;"",分銅情報入力シート!I16&lt;&gt;"",分銅情報入力シート!I16&lt;&gt;""),"〇","×")</f>
        <v>×</v>
      </c>
    </row>
    <row r="24" spans="1:34">
      <c r="Z24" s="73">
        <v>22</v>
      </c>
      <c r="AA24" s="74" t="str">
        <f>IF(AH24="×","",分銅情報入力シート!I17)</f>
        <v/>
      </c>
      <c r="AB24" s="74" t="str">
        <f>IF(AH24="×","",分銅情報入力シート!J17)</f>
        <v/>
      </c>
      <c r="AC24" s="74" t="str">
        <f>IF(AH24="×","",分銅情報入力シート!K17)</f>
        <v/>
      </c>
      <c r="AD24" s="99" t="str">
        <f>IF(AH24="×","",IF(OR(分銅情報入力シート!L17="",分銅情報入力シート!L17="　"),"",分銅情報入力シート!L17))</f>
        <v/>
      </c>
      <c r="AE24" s="101" t="str">
        <f>IF(AH24="×","",分銅情報入力シート!M17)</f>
        <v/>
      </c>
      <c r="AG24" t="str">
        <f t="shared" si="0"/>
        <v/>
      </c>
      <c r="AH24" s="70" t="str">
        <f>IF(AND(分銅情報入力シート!I17&lt;&gt;"",分銅情報入力シート!I17&lt;&gt;"",分銅情報入力シート!I17&lt;&gt;"",分銅情報入力シート!I17&lt;&gt;""),"〇","×")</f>
        <v>×</v>
      </c>
    </row>
    <row r="25" spans="1:34">
      <c r="A25" s="70" t="s">
        <v>138</v>
      </c>
      <c r="B25" s="304" t="s">
        <v>9</v>
      </c>
      <c r="C25" s="304"/>
      <c r="D25" s="304"/>
      <c r="E25" s="304"/>
      <c r="F25" s="304"/>
      <c r="G25" s="304"/>
      <c r="K25" s="304" t="s">
        <v>94</v>
      </c>
      <c r="L25" s="304"/>
      <c r="M25" s="304"/>
      <c r="N25" s="304"/>
      <c r="O25" s="304"/>
      <c r="P25" s="304"/>
      <c r="R25" s="304" t="s">
        <v>95</v>
      </c>
      <c r="S25" s="304"/>
      <c r="T25" s="304"/>
      <c r="U25" s="304"/>
      <c r="V25" s="304"/>
      <c r="W25" s="304"/>
      <c r="Z25" s="73">
        <v>23</v>
      </c>
      <c r="AA25" s="74" t="str">
        <f>IF(AH25="×","",分銅情報入力シート!I18)</f>
        <v/>
      </c>
      <c r="AB25" s="74" t="str">
        <f>IF(AH25="×","",分銅情報入力シート!J18)</f>
        <v/>
      </c>
      <c r="AC25" s="74" t="str">
        <f>IF(AH25="×","",分銅情報入力シート!K18)</f>
        <v/>
      </c>
      <c r="AD25" s="99" t="str">
        <f>IF(AH25="×","",IF(OR(分銅情報入力シート!L18="",分銅情報入力シート!L18="　"),"",分銅情報入力シート!L18))</f>
        <v/>
      </c>
      <c r="AE25" s="101" t="str">
        <f>IF(AH25="×","",分銅情報入力シート!M18)</f>
        <v/>
      </c>
      <c r="AG25" t="str">
        <f t="shared" si="0"/>
        <v/>
      </c>
      <c r="AH25" s="70" t="str">
        <f>IF(AND(分銅情報入力シート!I18&lt;&gt;"",分銅情報入力シート!I18&lt;&gt;"",分銅情報入力シート!I18&lt;&gt;"",分銅情報入力シート!I18&lt;&gt;""),"〇","×")</f>
        <v>×</v>
      </c>
    </row>
    <row r="26" spans="1:34">
      <c r="B26" s="304" t="s">
        <v>147</v>
      </c>
      <c r="C26" s="304"/>
      <c r="D26" s="304" t="s">
        <v>148</v>
      </c>
      <c r="E26" s="304"/>
      <c r="F26" s="304" t="s">
        <v>149</v>
      </c>
      <c r="G26" s="304"/>
      <c r="K26" s="304" t="s">
        <v>147</v>
      </c>
      <c r="L26" s="304"/>
      <c r="M26" s="304" t="s">
        <v>148</v>
      </c>
      <c r="N26" s="304"/>
      <c r="O26" s="304" t="s">
        <v>149</v>
      </c>
      <c r="P26" s="304"/>
      <c r="R26" s="304" t="s">
        <v>147</v>
      </c>
      <c r="S26" s="304"/>
      <c r="T26" s="304" t="s">
        <v>148</v>
      </c>
      <c r="U26" s="304"/>
      <c r="V26" s="304" t="s">
        <v>149</v>
      </c>
      <c r="W26" s="304"/>
      <c r="Z26" s="73">
        <v>24</v>
      </c>
      <c r="AA26" s="74" t="str">
        <f>IF(AH26="×","",分銅情報入力シート!I19)</f>
        <v/>
      </c>
      <c r="AB26" s="74" t="str">
        <f>IF(AH26="×","",分銅情報入力シート!J19)</f>
        <v/>
      </c>
      <c r="AC26" s="74" t="str">
        <f>IF(AH26="×","",分銅情報入力シート!K19)</f>
        <v/>
      </c>
      <c r="AD26" s="99" t="str">
        <f>IF(AH26="×","",IF(OR(分銅情報入力シート!L19="",分銅情報入力シート!L19="　"),"",分銅情報入力シート!L19))</f>
        <v/>
      </c>
      <c r="AE26" s="101" t="str">
        <f>IF(AH26="×","",分銅情報入力シート!M19)</f>
        <v/>
      </c>
      <c r="AG26" t="str">
        <f t="shared" si="0"/>
        <v/>
      </c>
      <c r="AH26" s="70" t="str">
        <f>IF(AND(分銅情報入力シート!I19&lt;&gt;"",分銅情報入力シート!I19&lt;&gt;"",分銅情報入力シート!I19&lt;&gt;"",分銅情報入力シート!I19&lt;&gt;""),"〇","×")</f>
        <v>×</v>
      </c>
    </row>
    <row r="27" spans="1:34">
      <c r="A27" s="70" t="s">
        <v>109</v>
      </c>
      <c r="B27" s="300">
        <v>3200</v>
      </c>
      <c r="C27" s="300"/>
      <c r="D27" s="300">
        <v>1100</v>
      </c>
      <c r="E27" s="300"/>
      <c r="F27" s="300">
        <v>890</v>
      </c>
      <c r="G27" s="300"/>
      <c r="K27" s="300">
        <v>3200</v>
      </c>
      <c r="L27" s="300"/>
      <c r="M27" s="300">
        <v>640</v>
      </c>
      <c r="N27" s="300"/>
      <c r="O27" s="300">
        <v>480</v>
      </c>
      <c r="P27" s="300"/>
      <c r="R27" s="300">
        <v>1250</v>
      </c>
      <c r="S27" s="300"/>
      <c r="T27" s="300">
        <v>330</v>
      </c>
      <c r="U27" s="300"/>
      <c r="V27" s="300">
        <v>290</v>
      </c>
      <c r="W27" s="300"/>
      <c r="Z27" s="73">
        <v>25</v>
      </c>
      <c r="AA27" s="74" t="str">
        <f>IF(AH27="×","",分銅情報入力シート!I20)</f>
        <v/>
      </c>
      <c r="AB27" s="74" t="str">
        <f>IF(AH27="×","",分銅情報入力シート!J20)</f>
        <v/>
      </c>
      <c r="AC27" s="74" t="str">
        <f>IF(AH27="×","",分銅情報入力シート!K20)</f>
        <v/>
      </c>
      <c r="AD27" s="99" t="str">
        <f>IF(AH27="×","",IF(OR(分銅情報入力シート!L20="",分銅情報入力シート!L20="　"),"",分銅情報入力シート!L20))</f>
        <v/>
      </c>
      <c r="AE27" s="101" t="str">
        <f>IF(AH27="×","",分銅情報入力シート!M20)</f>
        <v/>
      </c>
      <c r="AG27" t="str">
        <f t="shared" si="0"/>
        <v/>
      </c>
      <c r="AH27" s="70" t="str">
        <f>IF(AND(分銅情報入力シート!I20&lt;&gt;"",分銅情報入力シート!I20&lt;&gt;"",分銅情報入力シート!I20&lt;&gt;"",分銅情報入力シート!I20&lt;&gt;""),"〇","×")</f>
        <v>×</v>
      </c>
    </row>
    <row r="28" spans="1:34">
      <c r="A28" s="70" t="s">
        <v>110</v>
      </c>
      <c r="B28" s="300">
        <v>7900</v>
      </c>
      <c r="C28" s="300"/>
      <c r="D28" s="300">
        <v>1400</v>
      </c>
      <c r="E28" s="300"/>
      <c r="F28" s="300">
        <v>1200</v>
      </c>
      <c r="G28" s="300"/>
      <c r="K28" s="300">
        <v>7900</v>
      </c>
      <c r="L28" s="300"/>
      <c r="M28" s="300">
        <v>780</v>
      </c>
      <c r="N28" s="300"/>
      <c r="O28" s="300">
        <v>650</v>
      </c>
      <c r="P28" s="300"/>
      <c r="R28" s="300">
        <v>2950</v>
      </c>
      <c r="S28" s="300"/>
      <c r="T28" s="300">
        <v>2350</v>
      </c>
      <c r="U28" s="300"/>
      <c r="V28" s="300">
        <v>1750</v>
      </c>
      <c r="W28" s="300"/>
      <c r="Z28" s="73">
        <v>26</v>
      </c>
      <c r="AA28" s="74" t="str">
        <f>IF(AH28="×","",分銅情報入力シート!I21)</f>
        <v/>
      </c>
      <c r="AB28" s="74" t="str">
        <f>IF(AH28="×","",分銅情報入力シート!J21)</f>
        <v/>
      </c>
      <c r="AC28" s="74" t="str">
        <f>IF(AH28="×","",分銅情報入力シート!K21)</f>
        <v/>
      </c>
      <c r="AD28" s="99" t="str">
        <f>IF(AH28="×","",IF(OR(分銅情報入力シート!L21="",分銅情報入力シート!L21="　"),"",分銅情報入力シート!L21))</f>
        <v/>
      </c>
      <c r="AE28" s="101" t="str">
        <f>IF(AH28="×","",分銅情報入力シート!M21)</f>
        <v/>
      </c>
      <c r="AG28" t="str">
        <f t="shared" si="0"/>
        <v/>
      </c>
      <c r="AH28" s="70" t="str">
        <f>IF(AND(分銅情報入力シート!I21&lt;&gt;"",分銅情報入力シート!I21&lt;&gt;"",分銅情報入力シート!I21&lt;&gt;"",分銅情報入力シート!I21&lt;&gt;""),"〇","×")</f>
        <v>×</v>
      </c>
    </row>
    <row r="29" spans="1:34">
      <c r="A29" s="70" t="s">
        <v>111</v>
      </c>
      <c r="B29" s="300"/>
      <c r="C29" s="300"/>
      <c r="D29" s="300">
        <v>9800</v>
      </c>
      <c r="E29" s="300"/>
      <c r="F29" s="300">
        <v>8000</v>
      </c>
      <c r="G29" s="300"/>
      <c r="K29" s="300"/>
      <c r="L29" s="300"/>
      <c r="M29" s="300">
        <v>8800</v>
      </c>
      <c r="N29" s="300"/>
      <c r="O29" s="300">
        <v>7100</v>
      </c>
      <c r="P29" s="300"/>
      <c r="R29" s="307"/>
      <c r="S29" s="307"/>
      <c r="T29" s="307"/>
      <c r="U29" s="307"/>
      <c r="V29" s="307"/>
      <c r="W29" s="307"/>
      <c r="Z29" s="73">
        <v>27</v>
      </c>
      <c r="AA29" s="74" t="str">
        <f>IF(AH29="×","",分銅情報入力シート!I22)</f>
        <v/>
      </c>
      <c r="AB29" s="74" t="str">
        <f>IF(AH29="×","",分銅情報入力シート!J22)</f>
        <v/>
      </c>
      <c r="AC29" s="74" t="str">
        <f>IF(AH29="×","",分銅情報入力シート!K22)</f>
        <v/>
      </c>
      <c r="AD29" s="99" t="str">
        <f>IF(AH29="×","",IF(OR(分銅情報入力シート!L22="",分銅情報入力シート!L22="　"),"",分銅情報入力シート!L22))</f>
        <v/>
      </c>
      <c r="AE29" s="101" t="str">
        <f>IF(AH29="×","",分銅情報入力シート!M22)</f>
        <v/>
      </c>
      <c r="AG29" t="str">
        <f t="shared" si="0"/>
        <v/>
      </c>
      <c r="AH29" s="70" t="str">
        <f>IF(AND(分銅情報入力シート!I22&lt;&gt;"",分銅情報入力シート!I22&lt;&gt;"",分銅情報入力シート!I22&lt;&gt;"",分銅情報入力シート!I22&lt;&gt;""),"〇","×")</f>
        <v>×</v>
      </c>
    </row>
    <row r="30" spans="1:34">
      <c r="A30" s="70" t="s">
        <v>112</v>
      </c>
      <c r="B30" s="300"/>
      <c r="C30" s="300"/>
      <c r="D30" s="300">
        <v>10100</v>
      </c>
      <c r="E30" s="300"/>
      <c r="F30" s="300">
        <v>8300</v>
      </c>
      <c r="G30" s="300"/>
      <c r="K30" s="307"/>
      <c r="L30" s="307"/>
      <c r="M30" s="307"/>
      <c r="N30" s="307"/>
      <c r="O30" s="307"/>
      <c r="P30" s="307"/>
      <c r="R30" s="307"/>
      <c r="S30" s="307"/>
      <c r="T30" s="307"/>
      <c r="U30" s="307"/>
      <c r="V30" s="307"/>
      <c r="W30" s="307"/>
      <c r="Z30" s="73">
        <v>28</v>
      </c>
      <c r="AA30" s="74" t="str">
        <f>IF(AH30="×","",分銅情報入力シート!I23)</f>
        <v/>
      </c>
      <c r="AB30" s="74" t="str">
        <f>IF(AH30="×","",分銅情報入力シート!J23)</f>
        <v/>
      </c>
      <c r="AC30" s="74" t="str">
        <f>IF(AH30="×","",分銅情報入力シート!K23)</f>
        <v/>
      </c>
      <c r="AD30" s="99" t="str">
        <f>IF(AH30="×","",IF(OR(分銅情報入力シート!L23="",分銅情報入力シート!L23="　"),"",分銅情報入力シート!L23))</f>
        <v/>
      </c>
      <c r="AE30" s="101" t="str">
        <f>IF(AH30="×","",分銅情報入力シート!M23)</f>
        <v/>
      </c>
      <c r="AG30" t="str">
        <f t="shared" si="0"/>
        <v/>
      </c>
      <c r="AH30" s="70" t="str">
        <f>IF(AND(分銅情報入力シート!I23&lt;&gt;"",分銅情報入力シート!I23&lt;&gt;"",分銅情報入力シート!I23&lt;&gt;"",分銅情報入力シート!I23&lt;&gt;""),"〇","×")</f>
        <v>×</v>
      </c>
    </row>
    <row r="31" spans="1:34">
      <c r="A31" s="70" t="s">
        <v>113</v>
      </c>
      <c r="B31" s="300"/>
      <c r="C31" s="300"/>
      <c r="D31" s="300">
        <v>10700</v>
      </c>
      <c r="E31" s="300"/>
      <c r="F31" s="300">
        <v>8800</v>
      </c>
      <c r="G31" s="300"/>
      <c r="K31" s="307"/>
      <c r="L31" s="307"/>
      <c r="M31" s="307"/>
      <c r="N31" s="307"/>
      <c r="O31" s="307"/>
      <c r="P31" s="307"/>
      <c r="R31" s="307"/>
      <c r="S31" s="307"/>
      <c r="T31" s="307"/>
      <c r="U31" s="307"/>
      <c r="V31" s="307"/>
      <c r="W31" s="307"/>
      <c r="Z31" s="73">
        <v>29</v>
      </c>
      <c r="AA31" s="74" t="str">
        <f>IF(AH31="×","",分銅情報入力シート!I24)</f>
        <v/>
      </c>
      <c r="AB31" s="74" t="str">
        <f>IF(AH31="×","",分銅情報入力シート!J24)</f>
        <v/>
      </c>
      <c r="AC31" s="74" t="str">
        <f>IF(AH31="×","",分銅情報入力シート!K24)</f>
        <v/>
      </c>
      <c r="AD31" s="99" t="str">
        <f>IF(AH31="×","",IF(OR(分銅情報入力シート!L24="",分銅情報入力シート!L24="　"),"",分銅情報入力シート!L24))</f>
        <v/>
      </c>
      <c r="AE31" s="101" t="str">
        <f>IF(AH31="×","",分銅情報入力シート!M24)</f>
        <v/>
      </c>
      <c r="AG31" t="str">
        <f t="shared" si="0"/>
        <v/>
      </c>
      <c r="AH31" s="70" t="str">
        <f>IF(AND(分銅情報入力シート!I24&lt;&gt;"",分銅情報入力シート!I24&lt;&gt;"",分銅情報入力シート!I24&lt;&gt;"",分銅情報入力シート!I24&lt;&gt;""),"〇","×")</f>
        <v>×</v>
      </c>
    </row>
    <row r="32" spans="1:34">
      <c r="A32" s="70" t="s">
        <v>114</v>
      </c>
      <c r="B32" s="300"/>
      <c r="C32" s="300"/>
      <c r="D32" s="300">
        <v>11400</v>
      </c>
      <c r="E32" s="300"/>
      <c r="F32" s="300">
        <v>9300</v>
      </c>
      <c r="G32" s="300"/>
      <c r="K32" s="307"/>
      <c r="L32" s="307"/>
      <c r="M32" s="307"/>
      <c r="N32" s="307"/>
      <c r="O32" s="307"/>
      <c r="P32" s="307"/>
      <c r="R32" s="307"/>
      <c r="S32" s="307"/>
      <c r="T32" s="307"/>
      <c r="U32" s="307"/>
      <c r="V32" s="307"/>
      <c r="W32" s="307"/>
      <c r="Z32" s="73">
        <v>30</v>
      </c>
      <c r="AA32" s="74" t="str">
        <f>IF(AH32="×","",分銅情報入力シート!I25)</f>
        <v/>
      </c>
      <c r="AB32" s="74" t="str">
        <f>IF(AH32="×","",分銅情報入力シート!J25)</f>
        <v/>
      </c>
      <c r="AC32" s="74" t="str">
        <f>IF(AH32="×","",分銅情報入力シート!K25)</f>
        <v/>
      </c>
      <c r="AD32" s="99" t="str">
        <f>IF(AH32="×","",IF(OR(分銅情報入力シート!L25="",分銅情報入力シート!L25="　"),"",分銅情報入力シート!L25))</f>
        <v/>
      </c>
      <c r="AE32" s="101" t="str">
        <f>IF(AH32="×","",分銅情報入力シート!M25)</f>
        <v/>
      </c>
      <c r="AG32" t="str">
        <f t="shared" si="0"/>
        <v/>
      </c>
      <c r="AH32" s="70" t="str">
        <f>IF(AND(分銅情報入力シート!I25&lt;&gt;"",分銅情報入力シート!I25&lt;&gt;"",分銅情報入力シート!I25&lt;&gt;"",分銅情報入力シート!I25&lt;&gt;""),"〇","×")</f>
        <v>×</v>
      </c>
    </row>
    <row r="33" spans="1:34">
      <c r="Z33" s="73">
        <v>31</v>
      </c>
      <c r="AA33" s="74" t="str">
        <f>IF(AH33="×","",分銅情報入力シート!O11)</f>
        <v/>
      </c>
      <c r="AB33" s="74" t="str">
        <f>IF(AH33="×","",分銅情報入力シート!P11)</f>
        <v/>
      </c>
      <c r="AC33" s="74" t="str">
        <f>IF(AH33="×","",分銅情報入力シート!Q11)</f>
        <v/>
      </c>
      <c r="AD33" s="99" t="str">
        <f>IF(AH33="×","",IF(OR(分銅情報入力シート!R11="",分銅情報入力シート!R11="　"),"",分銅情報入力シート!R11))</f>
        <v/>
      </c>
      <c r="AE33" s="101" t="str">
        <f>IF(AH33="×","",分銅情報入力シート!S11)</f>
        <v/>
      </c>
      <c r="AG33" t="str">
        <f t="shared" si="0"/>
        <v/>
      </c>
      <c r="AH33" s="70" t="str">
        <f>IF(AND(分銅情報入力シート!O11&lt;&gt;"",分銅情報入力シート!O11&lt;&gt;"",分銅情報入力シート!O11&lt;&gt;"",分銅情報入力シート!O11&lt;&gt;""),"〇","×")</f>
        <v>×</v>
      </c>
    </row>
    <row r="34" spans="1:34">
      <c r="Z34" s="73">
        <v>32</v>
      </c>
      <c r="AA34" s="74" t="str">
        <f>IF(AH34="×","",分銅情報入力シート!O12)</f>
        <v/>
      </c>
      <c r="AB34" s="74" t="str">
        <f>IF(AH34="×","",分銅情報入力シート!P12)</f>
        <v/>
      </c>
      <c r="AC34" s="74" t="str">
        <f>IF(AH34="×","",分銅情報入力シート!Q12)</f>
        <v/>
      </c>
      <c r="AD34" s="99" t="str">
        <f>IF(AH34="×","",IF(OR(分銅情報入力シート!R12="",分銅情報入力シート!R12="　"),"",分銅情報入力シート!R12))</f>
        <v/>
      </c>
      <c r="AE34" s="101" t="str">
        <f>IF(AH34="×","",分銅情報入力シート!S12)</f>
        <v/>
      </c>
      <c r="AG34" t="str">
        <f t="shared" si="0"/>
        <v/>
      </c>
      <c r="AH34" s="70" t="str">
        <f>IF(AND(分銅情報入力シート!O12&lt;&gt;"",分銅情報入力シート!O12&lt;&gt;"",分銅情報入力シート!O12&lt;&gt;"",分銅情報入力シート!O12&lt;&gt;""),"〇","×")</f>
        <v>×</v>
      </c>
    </row>
    <row r="35" spans="1:34">
      <c r="A35" s="70" t="s">
        <v>119</v>
      </c>
      <c r="B35" s="304" t="s">
        <v>9</v>
      </c>
      <c r="C35" s="304"/>
      <c r="D35" s="304"/>
      <c r="E35" s="304"/>
      <c r="F35" s="304"/>
      <c r="G35" s="304"/>
      <c r="K35" s="304" t="s">
        <v>94</v>
      </c>
      <c r="L35" s="304"/>
      <c r="M35" s="304"/>
      <c r="N35" s="304"/>
      <c r="O35" s="304"/>
      <c r="P35" s="304"/>
      <c r="R35" s="304" t="s">
        <v>95</v>
      </c>
      <c r="S35" s="304"/>
      <c r="T35" s="304"/>
      <c r="U35" s="304"/>
      <c r="V35" s="304"/>
      <c r="W35" s="304"/>
      <c r="Z35" s="73">
        <v>33</v>
      </c>
      <c r="AA35" s="74" t="str">
        <f>IF(AH35="×","",分銅情報入力シート!O13)</f>
        <v/>
      </c>
      <c r="AB35" s="74" t="str">
        <f>IF(AH35="×","",分銅情報入力シート!P13)</f>
        <v/>
      </c>
      <c r="AC35" s="74" t="str">
        <f>IF(AH35="×","",分銅情報入力シート!Q13)</f>
        <v/>
      </c>
      <c r="AD35" s="99" t="str">
        <f>IF(AH35="×","",IF(OR(分銅情報入力シート!R13="",分銅情報入力シート!R13="　"),"",分銅情報入力シート!R13))</f>
        <v/>
      </c>
      <c r="AE35" s="101" t="str">
        <f>IF(AH35="×","",分銅情報入力シート!S13)</f>
        <v/>
      </c>
      <c r="AG35" t="str">
        <f t="shared" si="0"/>
        <v/>
      </c>
      <c r="AH35" s="70" t="str">
        <f>IF(AND(分銅情報入力シート!O13&lt;&gt;"",分銅情報入力シート!O13&lt;&gt;"",分銅情報入力シート!O13&lt;&gt;"",分銅情報入力シート!O13&lt;&gt;""),"〇","×")</f>
        <v>×</v>
      </c>
    </row>
    <row r="36" spans="1:34">
      <c r="B36" s="304" t="s">
        <v>147</v>
      </c>
      <c r="C36" s="304"/>
      <c r="D36" s="304" t="s">
        <v>148</v>
      </c>
      <c r="E36" s="304"/>
      <c r="F36" s="304" t="s">
        <v>149</v>
      </c>
      <c r="G36" s="304"/>
      <c r="K36" s="304" t="s">
        <v>147</v>
      </c>
      <c r="L36" s="304"/>
      <c r="M36" s="304" t="s">
        <v>148</v>
      </c>
      <c r="N36" s="304"/>
      <c r="O36" s="304" t="s">
        <v>149</v>
      </c>
      <c r="P36" s="304"/>
      <c r="R36" s="304" t="s">
        <v>147</v>
      </c>
      <c r="S36" s="304"/>
      <c r="T36" s="304" t="s">
        <v>148</v>
      </c>
      <c r="U36" s="304"/>
      <c r="V36" s="304" t="s">
        <v>149</v>
      </c>
      <c r="W36" s="304"/>
      <c r="Z36" s="73">
        <v>34</v>
      </c>
      <c r="AA36" s="74" t="str">
        <f>IF(AH36="×","",分銅情報入力シート!O14)</f>
        <v/>
      </c>
      <c r="AB36" s="74" t="str">
        <f>IF(AH36="×","",分銅情報入力シート!P14)</f>
        <v/>
      </c>
      <c r="AC36" s="74" t="str">
        <f>IF(AH36="×","",分銅情報入力シート!Q14)</f>
        <v/>
      </c>
      <c r="AD36" s="99" t="str">
        <f>IF(AH36="×","",IF(OR(分銅情報入力シート!R14="",分銅情報入力シート!R14="　"),"",分銅情報入力シート!R14))</f>
        <v/>
      </c>
      <c r="AE36" s="101" t="str">
        <f>IF(AH36="×","",分銅情報入力シート!S14)</f>
        <v/>
      </c>
      <c r="AG36" t="str">
        <f t="shared" si="0"/>
        <v/>
      </c>
      <c r="AH36" s="70" t="str">
        <f>IF(AND(分銅情報入力シート!O14&lt;&gt;"",分銅情報入力シート!O14&lt;&gt;"",分銅情報入力シート!O14&lt;&gt;"",分銅情報入力シート!O14&lt;&gt;""),"〇","×")</f>
        <v>×</v>
      </c>
    </row>
    <row r="37" spans="1:34">
      <c r="A37" s="70" t="s">
        <v>109</v>
      </c>
      <c r="B37" s="84">
        <v>1E-3</v>
      </c>
      <c r="C37" s="85">
        <v>200</v>
      </c>
      <c r="D37" s="86">
        <v>0.01</v>
      </c>
      <c r="E37" s="85">
        <v>5000</v>
      </c>
      <c r="F37" s="86">
        <v>0.01</v>
      </c>
      <c r="G37" s="85">
        <v>5000</v>
      </c>
      <c r="K37" s="86">
        <v>1E-3</v>
      </c>
      <c r="L37" s="85">
        <v>200</v>
      </c>
      <c r="M37" s="84">
        <v>0.01</v>
      </c>
      <c r="N37" s="87">
        <v>5000</v>
      </c>
      <c r="O37" s="86">
        <v>0.01</v>
      </c>
      <c r="P37" s="85">
        <v>5000</v>
      </c>
      <c r="R37" s="86">
        <v>1E-3</v>
      </c>
      <c r="S37" s="85">
        <v>200</v>
      </c>
      <c r="T37" s="84">
        <v>0.01</v>
      </c>
      <c r="U37" s="87">
        <v>50000</v>
      </c>
      <c r="V37" s="84">
        <v>0.01</v>
      </c>
      <c r="W37" s="87">
        <v>50000</v>
      </c>
      <c r="Z37" s="73">
        <v>35</v>
      </c>
      <c r="AA37" s="74" t="str">
        <f>IF(AH37="×","",分銅情報入力シート!O15)</f>
        <v/>
      </c>
      <c r="AB37" s="74" t="str">
        <f>IF(AH37="×","",分銅情報入力シート!P15)</f>
        <v/>
      </c>
      <c r="AC37" s="74" t="str">
        <f>IF(AH37="×","",分銅情報入力シート!Q15)</f>
        <v/>
      </c>
      <c r="AD37" s="99" t="str">
        <f>IF(AH37="×","",IF(OR(分銅情報入力シート!R15="",分銅情報入力シート!R15="　"),"",分銅情報入力シート!R15))</f>
        <v/>
      </c>
      <c r="AE37" s="101" t="str">
        <f>IF(AH37="×","",分銅情報入力シート!S15)</f>
        <v/>
      </c>
      <c r="AG37" t="str">
        <f t="shared" si="0"/>
        <v/>
      </c>
      <c r="AH37" s="70" t="str">
        <f>IF(AND(分銅情報入力シート!O15&lt;&gt;"",分銅情報入力シート!O15&lt;&gt;"",分銅情報入力シート!O15&lt;&gt;"",分銅情報入力シート!O15&lt;&gt;""),"〇","×")</f>
        <v>×</v>
      </c>
    </row>
    <row r="38" spans="1:34">
      <c r="A38" s="70" t="s">
        <v>110</v>
      </c>
      <c r="B38" s="84">
        <v>500</v>
      </c>
      <c r="C38" s="85">
        <v>20000</v>
      </c>
      <c r="D38" s="86">
        <v>10000</v>
      </c>
      <c r="E38" s="85">
        <v>50000</v>
      </c>
      <c r="F38" s="86">
        <v>10000</v>
      </c>
      <c r="G38" s="85">
        <v>50000</v>
      </c>
      <c r="K38" s="86">
        <v>500</v>
      </c>
      <c r="L38" s="85">
        <v>20000</v>
      </c>
      <c r="M38" s="84">
        <v>10000</v>
      </c>
      <c r="N38" s="87">
        <v>50000</v>
      </c>
      <c r="O38" s="86">
        <v>10000</v>
      </c>
      <c r="P38" s="85">
        <v>50000</v>
      </c>
      <c r="R38" s="86">
        <v>500</v>
      </c>
      <c r="S38" s="85">
        <v>20000</v>
      </c>
      <c r="T38" s="84">
        <v>100000</v>
      </c>
      <c r="U38" s="87">
        <v>1000000</v>
      </c>
      <c r="V38" s="84">
        <v>100000</v>
      </c>
      <c r="W38" s="87">
        <v>1000000</v>
      </c>
      <c r="Z38" s="73">
        <v>36</v>
      </c>
      <c r="AA38" s="74" t="str">
        <f>IF(AH38="×","",分銅情報入力シート!O16)</f>
        <v/>
      </c>
      <c r="AB38" s="74" t="str">
        <f>IF(AH38="×","",分銅情報入力シート!P16)</f>
        <v/>
      </c>
      <c r="AC38" s="74" t="str">
        <f>IF(AH38="×","",分銅情報入力シート!Q16)</f>
        <v/>
      </c>
      <c r="AD38" s="99" t="str">
        <f>IF(AH38="×","",IF(OR(分銅情報入力シート!R16="",分銅情報入力シート!R16="　"),"",分銅情報入力シート!R16))</f>
        <v/>
      </c>
      <c r="AE38" s="101" t="str">
        <f>IF(AH38="×","",分銅情報入力シート!S16)</f>
        <v/>
      </c>
      <c r="AG38" t="str">
        <f t="shared" si="0"/>
        <v/>
      </c>
      <c r="AH38" s="70" t="str">
        <f>IF(AND(分銅情報入力シート!O16&lt;&gt;"",分銅情報入力シート!O16&lt;&gt;"",分銅情報入力シート!O16&lt;&gt;"",分銅情報入力シート!O16&lt;&gt;""),"〇","×")</f>
        <v>×</v>
      </c>
    </row>
    <row r="39" spans="1:34">
      <c r="A39" s="70" t="s">
        <v>111</v>
      </c>
      <c r="B39" s="84"/>
      <c r="C39" s="85"/>
      <c r="D39" s="86">
        <v>100000</v>
      </c>
      <c r="E39" s="85">
        <v>100000</v>
      </c>
      <c r="F39" s="86">
        <v>100000</v>
      </c>
      <c r="G39" s="85">
        <v>100000</v>
      </c>
      <c r="K39" s="86"/>
      <c r="L39" s="85"/>
      <c r="M39" s="84">
        <v>100000</v>
      </c>
      <c r="N39" s="87">
        <v>1000000</v>
      </c>
      <c r="O39" s="86">
        <v>100000</v>
      </c>
      <c r="P39" s="85">
        <v>1000000</v>
      </c>
      <c r="Z39" s="73">
        <v>37</v>
      </c>
      <c r="AA39" s="74" t="str">
        <f>IF(AH39="×","",分銅情報入力シート!O17)</f>
        <v/>
      </c>
      <c r="AB39" s="74" t="str">
        <f>IF(AH39="×","",分銅情報入力シート!P17)</f>
        <v/>
      </c>
      <c r="AC39" s="74" t="str">
        <f>IF(AH39="×","",分銅情報入力シート!Q17)</f>
        <v/>
      </c>
      <c r="AD39" s="99" t="str">
        <f>IF(AH39="×","",IF(OR(分銅情報入力シート!R17="",分銅情報入力シート!R17="　"),"",分銅情報入力シート!R17))</f>
        <v/>
      </c>
      <c r="AE39" s="101" t="str">
        <f>IF(AH39="×","",分銅情報入力シート!S17)</f>
        <v/>
      </c>
      <c r="AG39" t="str">
        <f t="shared" si="0"/>
        <v/>
      </c>
      <c r="AH39" s="70" t="str">
        <f>IF(AND(分銅情報入力シート!O17&lt;&gt;"",分銅情報入力シート!O17&lt;&gt;"",分銅情報入力シート!O17&lt;&gt;"",分銅情報入力シート!O17&lt;&gt;""),"〇","×")</f>
        <v>×</v>
      </c>
    </row>
    <row r="40" spans="1:34">
      <c r="A40" s="70" t="s">
        <v>112</v>
      </c>
      <c r="B40" s="84"/>
      <c r="C40" s="85"/>
      <c r="D40" s="86">
        <v>200000</v>
      </c>
      <c r="E40" s="85">
        <v>200000</v>
      </c>
      <c r="F40" s="86">
        <v>200000</v>
      </c>
      <c r="G40" s="85">
        <v>200000</v>
      </c>
      <c r="Z40" s="73">
        <v>38</v>
      </c>
      <c r="AA40" s="74" t="str">
        <f>IF(AH40="×","",分銅情報入力シート!O18)</f>
        <v/>
      </c>
      <c r="AB40" s="74" t="str">
        <f>IF(AH40="×","",分銅情報入力シート!P18)</f>
        <v/>
      </c>
      <c r="AC40" s="74" t="str">
        <f>IF(AH40="×","",分銅情報入力シート!Q18)</f>
        <v/>
      </c>
      <c r="AD40" s="99" t="str">
        <f>IF(AH40="×","",IF(OR(分銅情報入力シート!R18="",分銅情報入力シート!R18="　"),"",分銅情報入力シート!R18))</f>
        <v/>
      </c>
      <c r="AE40" s="101" t="str">
        <f>IF(AH40="×","",分銅情報入力シート!S18)</f>
        <v/>
      </c>
      <c r="AG40" t="str">
        <f t="shared" si="0"/>
        <v/>
      </c>
      <c r="AH40" s="70" t="str">
        <f>IF(AND(分銅情報入力シート!O18&lt;&gt;"",分銅情報入力シート!O18&lt;&gt;"",分銅情報入力シート!O18&lt;&gt;"",分銅情報入力シート!O18&lt;&gt;""),"〇","×")</f>
        <v>×</v>
      </c>
    </row>
    <row r="41" spans="1:34">
      <c r="A41" s="70" t="s">
        <v>113</v>
      </c>
      <c r="B41" s="84"/>
      <c r="C41" s="85"/>
      <c r="D41" s="86">
        <v>500000</v>
      </c>
      <c r="E41" s="85">
        <v>500000</v>
      </c>
      <c r="F41" s="86">
        <v>500000</v>
      </c>
      <c r="G41" s="85">
        <v>500000</v>
      </c>
      <c r="Z41" s="73">
        <v>39</v>
      </c>
      <c r="AA41" s="74" t="str">
        <f>IF(AH41="×","",分銅情報入力シート!O19)</f>
        <v/>
      </c>
      <c r="AB41" s="74" t="str">
        <f>IF(AH41="×","",分銅情報入力シート!P19)</f>
        <v/>
      </c>
      <c r="AC41" s="74" t="str">
        <f>IF(AH41="×","",分銅情報入力シート!Q19)</f>
        <v/>
      </c>
      <c r="AD41" s="99" t="str">
        <f>IF(AH41="×","",IF(OR(分銅情報入力シート!R19="",分銅情報入力シート!R19="　"),"",分銅情報入力シート!R19))</f>
        <v/>
      </c>
      <c r="AE41" s="101" t="str">
        <f>IF(AH41="×","",分銅情報入力シート!S19)</f>
        <v/>
      </c>
      <c r="AG41" t="str">
        <f t="shared" si="0"/>
        <v/>
      </c>
      <c r="AH41" s="70" t="str">
        <f>IF(AND(分銅情報入力シート!O19&lt;&gt;"",分銅情報入力シート!O19&lt;&gt;"",分銅情報入力シート!O19&lt;&gt;"",分銅情報入力シート!O19&lt;&gt;""),"〇","×")</f>
        <v>×</v>
      </c>
    </row>
    <row r="42" spans="1:34">
      <c r="A42" s="70" t="s">
        <v>114</v>
      </c>
      <c r="B42" s="84"/>
      <c r="C42" s="85"/>
      <c r="D42" s="86">
        <v>1000000</v>
      </c>
      <c r="E42" s="85">
        <v>1000000</v>
      </c>
      <c r="F42" s="86">
        <v>1000000</v>
      </c>
      <c r="G42" s="85">
        <v>1000000</v>
      </c>
      <c r="Z42" s="73">
        <v>40</v>
      </c>
      <c r="AA42" s="74" t="str">
        <f>IF(AH42="×","",分銅情報入力シート!O20)</f>
        <v/>
      </c>
      <c r="AB42" s="74" t="str">
        <f>IF(AH42="×","",分銅情報入力シート!P20)</f>
        <v/>
      </c>
      <c r="AC42" s="74" t="str">
        <f>IF(AH42="×","",分銅情報入力シート!Q20)</f>
        <v/>
      </c>
      <c r="AD42" s="99" t="str">
        <f>IF(AH42="×","",IF(OR(分銅情報入力シート!R20="",分銅情報入力シート!R20="　"),"",分銅情報入力シート!R20))</f>
        <v/>
      </c>
      <c r="AE42" s="101" t="str">
        <f>IF(AH42="×","",分銅情報入力シート!S20)</f>
        <v/>
      </c>
      <c r="AG42" t="str">
        <f t="shared" si="0"/>
        <v/>
      </c>
      <c r="AH42" s="70" t="str">
        <f>IF(AND(分銅情報入力シート!O20&lt;&gt;"",分銅情報入力シート!O20&lt;&gt;"",分銅情報入力シート!O20&lt;&gt;"",分銅情報入力シート!O20&lt;&gt;""),"〇","×")</f>
        <v>×</v>
      </c>
    </row>
    <row r="43" spans="1:34">
      <c r="Z43" s="73">
        <v>41</v>
      </c>
      <c r="AA43" s="74" t="str">
        <f>IF(AH43="×","",分銅情報入力シート!O21)</f>
        <v/>
      </c>
      <c r="AB43" s="74" t="str">
        <f>IF(AH43="×","",分銅情報入力シート!P21)</f>
        <v/>
      </c>
      <c r="AC43" s="74" t="str">
        <f>IF(AH43="×","",分銅情報入力シート!Q21)</f>
        <v/>
      </c>
      <c r="AD43" s="99" t="str">
        <f>IF(AH43="×","",IF(OR(分銅情報入力シート!R21="",分銅情報入力シート!R21="　"),"",分銅情報入力シート!R21))</f>
        <v/>
      </c>
      <c r="AE43" s="101" t="str">
        <f>IF(AH43="×","",分銅情報入力シート!S21)</f>
        <v/>
      </c>
      <c r="AG43" t="str">
        <f t="shared" si="0"/>
        <v/>
      </c>
      <c r="AH43" s="70" t="str">
        <f>IF(AND(分銅情報入力シート!O21&lt;&gt;"",分銅情報入力シート!O21&lt;&gt;"",分銅情報入力シート!O21&lt;&gt;"",分銅情報入力シート!O21&lt;&gt;""),"〇","×")</f>
        <v>×</v>
      </c>
    </row>
    <row r="44" spans="1:34">
      <c r="Z44" s="73">
        <v>42</v>
      </c>
      <c r="AA44" s="74" t="str">
        <f>IF(AH44="×","",分銅情報入力シート!O22)</f>
        <v/>
      </c>
      <c r="AB44" s="74" t="str">
        <f>IF(AH44="×","",分銅情報入力シート!P22)</f>
        <v/>
      </c>
      <c r="AC44" s="74" t="str">
        <f>IF(AH44="×","",分銅情報入力シート!Q22)</f>
        <v/>
      </c>
      <c r="AD44" s="99" t="str">
        <f>IF(AH44="×","",IF(OR(分銅情報入力シート!R22="",分銅情報入力シート!R22="　"),"",分銅情報入力シート!R22))</f>
        <v/>
      </c>
      <c r="AE44" s="101" t="str">
        <f>IF(AH44="×","",分銅情報入力シート!S22)</f>
        <v/>
      </c>
      <c r="AG44" t="str">
        <f t="shared" si="0"/>
        <v/>
      </c>
      <c r="AH44" s="70" t="str">
        <f>IF(AND(分銅情報入力シート!O22&lt;&gt;"",分銅情報入力シート!O22&lt;&gt;"",分銅情報入力シート!O22&lt;&gt;"",分銅情報入力シート!O22&lt;&gt;""),"〇","×")</f>
        <v>×</v>
      </c>
    </row>
    <row r="45" spans="1:34">
      <c r="A45" s="70" t="s">
        <v>120</v>
      </c>
      <c r="B45" s="304" t="s">
        <v>9</v>
      </c>
      <c r="C45" s="304"/>
      <c r="D45" s="304"/>
      <c r="E45" s="304"/>
      <c r="F45" s="304"/>
      <c r="G45" s="304"/>
      <c r="K45" s="304" t="s">
        <v>94</v>
      </c>
      <c r="L45" s="304"/>
      <c r="M45" s="304"/>
      <c r="N45" s="304"/>
      <c r="O45" s="304"/>
      <c r="P45" s="304"/>
      <c r="R45" s="304" t="s">
        <v>95</v>
      </c>
      <c r="S45" s="304"/>
      <c r="T45" s="304"/>
      <c r="U45" s="304"/>
      <c r="V45" s="304"/>
      <c r="W45" s="304"/>
      <c r="Z45" s="73">
        <v>43</v>
      </c>
      <c r="AA45" s="74" t="str">
        <f>IF(AH45="×","",分銅情報入力シート!O23)</f>
        <v/>
      </c>
      <c r="AB45" s="74" t="str">
        <f>IF(AH45="×","",分銅情報入力シート!P23)</f>
        <v/>
      </c>
      <c r="AC45" s="74" t="str">
        <f>IF(AH45="×","",分銅情報入力シート!Q23)</f>
        <v/>
      </c>
      <c r="AD45" s="99" t="str">
        <f>IF(AH45="×","",IF(OR(分銅情報入力シート!R23="",分銅情報入力シート!R23="　"),"",分銅情報入力シート!R23))</f>
        <v/>
      </c>
      <c r="AE45" s="101" t="str">
        <f>IF(AH45="×","",分銅情報入力シート!S23)</f>
        <v/>
      </c>
      <c r="AG45" t="str">
        <f t="shared" si="0"/>
        <v/>
      </c>
      <c r="AH45" s="70" t="str">
        <f>IF(AND(分銅情報入力シート!O23&lt;&gt;"",分銅情報入力シート!O23&lt;&gt;"",分銅情報入力シート!O23&lt;&gt;"",分銅情報入力シート!O23&lt;&gt;""),"〇","×")</f>
        <v>×</v>
      </c>
    </row>
    <row r="46" spans="1:34">
      <c r="B46" s="304" t="s">
        <v>147</v>
      </c>
      <c r="C46" s="304"/>
      <c r="D46" s="304" t="s">
        <v>148</v>
      </c>
      <c r="E46" s="304"/>
      <c r="F46" s="304" t="s">
        <v>149</v>
      </c>
      <c r="G46" s="304"/>
      <c r="K46" s="304" t="s">
        <v>147</v>
      </c>
      <c r="L46" s="304"/>
      <c r="M46" s="304" t="s">
        <v>148</v>
      </c>
      <c r="N46" s="304"/>
      <c r="O46" s="304" t="s">
        <v>149</v>
      </c>
      <c r="P46" s="304"/>
      <c r="R46" s="304" t="s">
        <v>147</v>
      </c>
      <c r="S46" s="304"/>
      <c r="T46" s="304" t="s">
        <v>148</v>
      </c>
      <c r="U46" s="304"/>
      <c r="V46" s="304" t="s">
        <v>149</v>
      </c>
      <c r="W46" s="304"/>
      <c r="Z46" s="73">
        <v>44</v>
      </c>
      <c r="AA46" s="74" t="str">
        <f>IF(AH46="×","",分銅情報入力シート!O24)</f>
        <v/>
      </c>
      <c r="AB46" s="74" t="str">
        <f>IF(AH46="×","",分銅情報入力シート!P24)</f>
        <v/>
      </c>
      <c r="AC46" s="74" t="str">
        <f>IF(AH46="×","",分銅情報入力シート!Q24)</f>
        <v/>
      </c>
      <c r="AD46" s="99" t="str">
        <f>IF(AH46="×","",IF(OR(分銅情報入力シート!R24="",分銅情報入力シート!R24="　"),"",分銅情報入力シート!R24))</f>
        <v/>
      </c>
      <c r="AE46" s="101" t="str">
        <f>IF(AH46="×","",分銅情報入力シート!S24)</f>
        <v/>
      </c>
      <c r="AG46" t="str">
        <f t="shared" si="0"/>
        <v/>
      </c>
      <c r="AH46" s="70" t="str">
        <f>IF(AND(分銅情報入力シート!O24&lt;&gt;"",分銅情報入力シート!O24&lt;&gt;"",分銅情報入力シート!O24&lt;&gt;"",分銅情報入力シート!O24&lt;&gt;""),"〇","×")</f>
        <v>×</v>
      </c>
    </row>
    <row r="47" spans="1:34">
      <c r="A47" s="70" t="s">
        <v>109</v>
      </c>
      <c r="B47" s="84">
        <f t="array" ref="B47">MIN(IF(($AG$3:$AG$102&lt;=C37)*($AG$3:$AG$102&gt;=B37),$AG$3:$AG$102,""))</f>
        <v>0</v>
      </c>
      <c r="C47" s="85">
        <f t="array" ref="C47">MAX(IF(($AG$3:$AG$102&lt;=C37)*($AG$3:$AG$102&gt;=B37),$AG$3:$AG$102,""))</f>
        <v>0</v>
      </c>
      <c r="D47" s="84">
        <f t="array" ref="D47">MIN(IF(($AG$3:$AG$102&lt;=E37)*($AG$3:$AG$102&gt;=D37),$AG$3:$AG$102,""))</f>
        <v>0</v>
      </c>
      <c r="E47" s="85">
        <f t="array" ref="E47">MAX(IF(($AG$3:$AG$102&lt;=E37)*($AG$3:$AG$102&gt;=D37),$AG$3:$AG$102,""))</f>
        <v>0</v>
      </c>
      <c r="F47" s="84">
        <f t="array" ref="F47">MIN(IF(($AG$3:$AG$102&lt;=G37)*($AG$3:$AG$102&gt;=F37),$AG$3:$AG$102,""))</f>
        <v>0</v>
      </c>
      <c r="G47" s="85">
        <f t="array" ref="G47">MAX(IF(($AG$3:$AG$102&lt;=G37)*($AG$3:$AG$102&gt;=F37),$AG$3:$AG$102,""))</f>
        <v>0</v>
      </c>
      <c r="K47" s="84">
        <f t="array" ref="K47">MIN(IF(($AG$3:$AG$102&lt;=L37)*($AG$3:$AG$102&gt;=K37),$AG$3:$AG$102,""))</f>
        <v>0</v>
      </c>
      <c r="L47" s="85">
        <f t="array" ref="L47">MAX(IF(($AG$3:$AG$102&lt;=L37)*($AG$3:$AG$102&gt;=K37),$AG$3:$AG$102,""))</f>
        <v>0</v>
      </c>
      <c r="M47" s="84">
        <f t="array" ref="M47">MIN(IF(($AG$3:$AG$102&lt;=N37)*($AG$3:$AG$102&gt;=M37),$AG$3:$AG$102,""))</f>
        <v>0</v>
      </c>
      <c r="N47" s="85">
        <f t="array" ref="N47">MAX(IF(($AG$3:$AG$102&lt;=N37)*($AG$3:$AG$102&gt;=M37),$AG$3:$AG$102,""))</f>
        <v>0</v>
      </c>
      <c r="O47" s="84">
        <f t="array" ref="O47">MIN(IF(($AG$3:$AG$102&lt;=P37)*($AG$3:$AG$102&gt;=O37),$AG$3:$AG$102,""))</f>
        <v>0</v>
      </c>
      <c r="P47" s="85">
        <f t="array" ref="P47">MAX(IF(($AG$3:$AG$102&lt;=P37)*($AG$3:$AG$102&gt;=O37),$AG$3:$AG$102,""))</f>
        <v>0</v>
      </c>
      <c r="R47" s="84">
        <f t="array" ref="R47">MIN(IF(($AG$3:$AG$102&lt;=S37)*($AG$3:$AG$102&gt;=R37),$AG$3:$AG$102,""))</f>
        <v>0</v>
      </c>
      <c r="S47" s="85">
        <f t="array" ref="S47">MAX(IF(($AG$3:$AG$102&lt;=S37)*($AG$3:$AG$102&gt;=R37),$AG$3:$AG$102,""))</f>
        <v>0</v>
      </c>
      <c r="T47" s="84">
        <f t="array" ref="T47">MIN(IF(($AG$3:$AG$102&lt;=U37)*($AG$3:$AG$102&gt;=T37),$AG$3:$AG$102,""))</f>
        <v>0</v>
      </c>
      <c r="U47" s="85">
        <f t="array" ref="U47">MAX(IF(($AG$3:$AG$102&lt;=U37)*($AG$3:$AG$102&gt;=T37),$AG$3:$AG$102,""))</f>
        <v>0</v>
      </c>
      <c r="V47" s="84">
        <f t="array" ref="V47">MIN(IF(($AG$3:$AG$102&lt;=W37)*($AG$3:$AG$102&gt;=V37),$AG$3:$AG$102,""))</f>
        <v>0</v>
      </c>
      <c r="W47" s="85">
        <f t="array" ref="W47">MAX(IF(($AG$3:$AG$102&lt;=W37)*($AG$3:$AG$102&gt;=V37),$AG$3:$AG$102,""))</f>
        <v>0</v>
      </c>
      <c r="Z47" s="73">
        <v>45</v>
      </c>
      <c r="AA47" s="74" t="str">
        <f>IF(AH47="×","",分銅情報入力シート!O25)</f>
        <v/>
      </c>
      <c r="AB47" s="74" t="str">
        <f>IF(AH47="×","",分銅情報入力シート!P25)</f>
        <v/>
      </c>
      <c r="AC47" s="74" t="str">
        <f>IF(AH47="×","",分銅情報入力シート!Q25)</f>
        <v/>
      </c>
      <c r="AD47" s="99" t="str">
        <f>IF(AH47="×","",IF(OR(分銅情報入力シート!R25="",分銅情報入力シート!R25="　"),"",分銅情報入力シート!R25))</f>
        <v/>
      </c>
      <c r="AE47" s="101" t="str">
        <f>IF(AH47="×","",分銅情報入力シート!S25)</f>
        <v/>
      </c>
      <c r="AG47" t="str">
        <f t="shared" si="0"/>
        <v/>
      </c>
      <c r="AH47" s="70" t="str">
        <f>IF(AND(分銅情報入力シート!O25&lt;&gt;"",分銅情報入力シート!O25&lt;&gt;"",分銅情報入力シート!O25&lt;&gt;"",分銅情報入力シート!O25&lt;&gt;""),"〇","×")</f>
        <v>×</v>
      </c>
    </row>
    <row r="48" spans="1:34">
      <c r="A48" s="70" t="s">
        <v>110</v>
      </c>
      <c r="B48" s="84">
        <f t="array" ref="B48">MIN(IF(($AG$3:$AG$102&lt;=C38)*($AG$3:$AG$102&gt;=B38),$AG$3:$AG$102,""))</f>
        <v>0</v>
      </c>
      <c r="C48" s="85">
        <f t="array" ref="C48">MAX(IF(($AG$3:$AG$102&lt;=C38)*($AG$3:$AG$102&gt;=B38),$AG$3:$AG$102,""))</f>
        <v>0</v>
      </c>
      <c r="D48" s="84">
        <f t="array" ref="D48">MIN(IF(($AG$3:$AG$102&lt;=E38)*($AG$3:$AG$102&gt;=D38),$AG$3:$AG$102,""))</f>
        <v>0</v>
      </c>
      <c r="E48" s="85">
        <f t="array" ref="E48">MAX(IF(($AG$3:$AG$102&lt;=E38)*($AG$3:$AG$102&gt;=D38),$AG$3:$AG$102,""))</f>
        <v>0</v>
      </c>
      <c r="F48" s="84">
        <f t="array" ref="F48">MIN(IF(($AG$3:$AG$102&lt;=G38)*($AG$3:$AG$102&gt;=F38),$AG$3:$AG$102,""))</f>
        <v>0</v>
      </c>
      <c r="G48" s="85">
        <f t="array" ref="G48">MAX(IF(($AG$3:$AG$102&lt;=G38)*($AG$3:$AG$102&gt;=F38),$AG$3:$AG$102,""))</f>
        <v>0</v>
      </c>
      <c r="K48" s="84">
        <f t="array" ref="K48">MIN(IF(($AG$3:$AG$102&lt;=L38)*($AG$3:$AG$102&gt;=K38),$AG$3:$AG$102,""))</f>
        <v>0</v>
      </c>
      <c r="L48" s="85">
        <f t="array" ref="L48">MAX(IF(($AG$3:$AG$102&lt;=L38)*($AG$3:$AG$102&gt;=K38),$AG$3:$AG$102,""))</f>
        <v>0</v>
      </c>
      <c r="M48" s="84">
        <f t="array" ref="M48">MIN(IF(($AG$3:$AG$102&lt;=N38)*($AG$3:$AG$102&gt;=M38),$AG$3:$AG$102,""))</f>
        <v>0</v>
      </c>
      <c r="N48" s="85">
        <f t="array" ref="N48">MAX(IF(($AG$3:$AG$102&lt;=N38)*($AG$3:$AG$102&gt;=M38),$AG$3:$AG$102,""))</f>
        <v>0</v>
      </c>
      <c r="O48" s="84">
        <f t="array" ref="O48">MIN(IF(($AG$3:$AG$102&lt;=P38)*($AG$3:$AG$102&gt;=O38),$AG$3:$AG$102,""))</f>
        <v>0</v>
      </c>
      <c r="P48" s="85">
        <f t="array" ref="P48">MAX(IF(($AG$3:$AG$102&lt;=P38)*($AG$3:$AG$102&gt;=O38),$AG$3:$AG$102,""))</f>
        <v>0</v>
      </c>
      <c r="R48" s="84">
        <f t="array" ref="R48">MIN(IF(($AG$3:$AG$102&lt;=S38)*($AG$3:$AG$102&gt;=R38),$AG$3:$AG$102,""))</f>
        <v>0</v>
      </c>
      <c r="S48" s="85">
        <f t="array" ref="S48">MAX(IF(($AG$3:$AG$102&lt;=S38)*($AG$3:$AG$102&gt;=R38),$AG$3:$AG$102,""))</f>
        <v>0</v>
      </c>
      <c r="T48" s="84">
        <f t="array" ref="T48">MIN(IF(($AG$3:$AG$102&lt;=U38)*($AG$3:$AG$102&gt;=T38),$AG$3:$AG$102,""))</f>
        <v>0</v>
      </c>
      <c r="U48" s="85">
        <f t="array" ref="U48">MAX(IF(($AG$3:$AG$102&lt;=U38)*($AG$3:$AG$102&gt;=T38),$AG$3:$AG$102,""))</f>
        <v>0</v>
      </c>
      <c r="V48" s="84">
        <f t="array" ref="V48">MIN(IF(($AG$3:$AG$102&lt;=W38)*($AG$3:$AG$102&gt;=V38),$AG$3:$AG$102,""))</f>
        <v>0</v>
      </c>
      <c r="W48" s="85">
        <f t="array" ref="W48">MAX(IF(($AG$3:$AG$102&lt;=W38)*($AG$3:$AG$102&gt;=V38),$AG$3:$AG$102,""))</f>
        <v>0</v>
      </c>
      <c r="Z48" s="73">
        <v>46</v>
      </c>
      <c r="AA48" s="74" t="str">
        <f>IF(AH48="×","",分銅情報入力シート!U11)</f>
        <v/>
      </c>
      <c r="AB48" s="74" t="str">
        <f>IF(AH48="×","",分銅情報入力シート!V11)</f>
        <v/>
      </c>
      <c r="AC48" s="74" t="str">
        <f>IF(AH48="×","",分銅情報入力シート!W11)</f>
        <v/>
      </c>
      <c r="AD48" s="99" t="str">
        <f>IF(AH48="×","",IF(OR(分銅情報入力シート!X11="",分銅情報入力シート!X11="　"),"",分銅情報入力シート!X11))</f>
        <v/>
      </c>
      <c r="AE48" s="101" t="str">
        <f>IF(AH48="×","",分銅情報入力シート!Y11)</f>
        <v/>
      </c>
      <c r="AG48" t="str">
        <f t="shared" si="0"/>
        <v/>
      </c>
      <c r="AH48" s="70" t="str">
        <f>IF(AND(分銅情報入力シート!U11&lt;&gt;"",分銅情報入力シート!U11&lt;&gt;"",分銅情報入力シート!U11&lt;&gt;"",分銅情報入力シート!U11&lt;&gt;""),"〇","×")</f>
        <v>×</v>
      </c>
    </row>
    <row r="49" spans="1:34">
      <c r="A49" s="70" t="s">
        <v>111</v>
      </c>
      <c r="B49" s="84"/>
      <c r="C49" s="85"/>
      <c r="D49" s="84">
        <f t="array" ref="D49">MIN(IF(($AG$3:$AG$102&lt;=E39)*($AG$3:$AG$102&gt;=D39),$AG$3:$AG$102,""))</f>
        <v>0</v>
      </c>
      <c r="E49" s="85">
        <f t="array" ref="E49">MAX(IF(($AG$3:$AG$102&lt;=E39)*($AG$3:$AG$102&gt;=D39),$AG$3:$AG$102,""))</f>
        <v>0</v>
      </c>
      <c r="F49" s="84">
        <f t="array" ref="F49">MIN(IF(($AG$3:$AG$102&lt;=G39)*($AG$3:$AG$102&gt;=F39),$AG$3:$AG$102,""))</f>
        <v>0</v>
      </c>
      <c r="G49" s="85">
        <f t="array" ref="G49">MAX(IF(($AG$3:$AG$102&lt;=G39)*($AG$3:$AG$102&gt;=F39),$AG$3:$AG$102,""))</f>
        <v>0</v>
      </c>
      <c r="K49" s="77"/>
      <c r="L49" s="76"/>
      <c r="M49" s="84">
        <f t="array" ref="M49">MIN(IF(($AG$3:$AG$102&lt;=N39)*($AG$3:$AG$102&gt;=M39),$AG$3:$AG$102,""))</f>
        <v>0</v>
      </c>
      <c r="N49" s="85">
        <f t="array" ref="N49">MAX(IF(($AG$3:$AG$102&lt;=N39)*($AG$3:$AG$102&gt;=M39),$AG$3:$AG$102,""))</f>
        <v>0</v>
      </c>
      <c r="O49" s="84">
        <f t="array" ref="O49">MIN(IF(($AG$3:$AG$102&lt;=P39)*($AG$3:$AG$102&gt;=O39),$AG$3:$AG$102,""))</f>
        <v>0</v>
      </c>
      <c r="P49" s="85">
        <f t="array" ref="P49">MAX(IF(($AG$3:$AG$102&lt;=P39)*($AG$3:$AG$102&gt;=O39),$AG$3:$AG$102,""))</f>
        <v>0</v>
      </c>
      <c r="Z49" s="73">
        <v>47</v>
      </c>
      <c r="AA49" s="74" t="str">
        <f>IF(AH49="×","",分銅情報入力シート!U12)</f>
        <v/>
      </c>
      <c r="AB49" s="74" t="str">
        <f>IF(AH49="×","",分銅情報入力シート!V12)</f>
        <v/>
      </c>
      <c r="AC49" s="74" t="str">
        <f>IF(AH49="×","",分銅情報入力シート!W12)</f>
        <v/>
      </c>
      <c r="AD49" s="99" t="str">
        <f>IF(AH49="×","",IF(OR(分銅情報入力シート!X12="",分銅情報入力シート!X12="　"),"",分銅情報入力シート!X12))</f>
        <v/>
      </c>
      <c r="AE49" s="101" t="str">
        <f>IF(AH49="×","",分銅情報入力シート!Y12)</f>
        <v/>
      </c>
      <c r="AG49" t="str">
        <f t="shared" si="0"/>
        <v/>
      </c>
      <c r="AH49" s="70" t="str">
        <f>IF(AND(分銅情報入力シート!U12&lt;&gt;"",分銅情報入力シート!U12&lt;&gt;"",分銅情報入力シート!U12&lt;&gt;"",分銅情報入力シート!U12&lt;&gt;""),"〇","×")</f>
        <v>×</v>
      </c>
    </row>
    <row r="50" spans="1:34">
      <c r="A50" s="70" t="s">
        <v>112</v>
      </c>
      <c r="B50" s="84"/>
      <c r="C50" s="85"/>
      <c r="D50" s="84">
        <f t="array" ref="D50">MIN(IF(($AG$3:$AG$102&lt;=E40)*($AG$3:$AG$102&gt;=D40),$AG$3:$AG$102,""))</f>
        <v>0</v>
      </c>
      <c r="E50" s="85">
        <f t="array" ref="E50">MAX(IF(($AG$3:$AG$102&lt;=E40)*($AG$3:$AG$102&gt;=D40),$AG$3:$AG$102,""))</f>
        <v>0</v>
      </c>
      <c r="F50" s="84">
        <f t="array" ref="F50">MIN(IF(($AG$3:$AG$102&lt;=G40)*($AG$3:$AG$102&gt;=F40),$AG$3:$AG$102,""))</f>
        <v>0</v>
      </c>
      <c r="G50" s="85">
        <f t="array" ref="G50">MAX(IF(($AG$3:$AG$102&lt;=G40)*($AG$3:$AG$102&gt;=F40),$AG$3:$AG$102,""))</f>
        <v>0</v>
      </c>
      <c r="Z50" s="73">
        <v>48</v>
      </c>
      <c r="AA50" s="74" t="str">
        <f>IF(AH50="×","",分銅情報入力シート!U13)</f>
        <v/>
      </c>
      <c r="AB50" s="74" t="str">
        <f>IF(AH50="×","",分銅情報入力シート!V13)</f>
        <v/>
      </c>
      <c r="AC50" s="74" t="str">
        <f>IF(AH50="×","",分銅情報入力シート!W13)</f>
        <v/>
      </c>
      <c r="AD50" s="99" t="str">
        <f>IF(AH50="×","",IF(OR(分銅情報入力シート!X13="",分銅情報入力シート!X13="　"),"",分銅情報入力シート!X13))</f>
        <v/>
      </c>
      <c r="AE50" s="101" t="str">
        <f>IF(AH50="×","",分銅情報入力シート!Y13)</f>
        <v/>
      </c>
      <c r="AG50" t="str">
        <f t="shared" si="0"/>
        <v/>
      </c>
      <c r="AH50" s="70" t="str">
        <f>IF(AND(分銅情報入力シート!U13&lt;&gt;"",分銅情報入力シート!U13&lt;&gt;"",分銅情報入力シート!U13&lt;&gt;"",分銅情報入力シート!U13&lt;&gt;""),"〇","×")</f>
        <v>×</v>
      </c>
    </row>
    <row r="51" spans="1:34">
      <c r="A51" s="70" t="s">
        <v>113</v>
      </c>
      <c r="B51" s="84"/>
      <c r="C51" s="85"/>
      <c r="D51" s="84">
        <f t="array" ref="D51">MIN(IF(($AG$3:$AG$102&lt;=E41)*($AG$3:$AG$102&gt;=D41),$AG$3:$AG$102,""))</f>
        <v>0</v>
      </c>
      <c r="E51" s="85">
        <f t="array" ref="E51">MAX(IF(($AG$3:$AG$102&lt;=E41)*($AG$3:$AG$102&gt;=D41),$AG$3:$AG$102,""))</f>
        <v>0</v>
      </c>
      <c r="F51" s="84">
        <f t="array" ref="F51">MIN(IF(($AG$3:$AG$102&lt;=G41)*($AG$3:$AG$102&gt;=F41),$AG$3:$AG$102,""))</f>
        <v>0</v>
      </c>
      <c r="G51" s="85">
        <f t="array" ref="G51">MAX(IF(($AG$3:$AG$102&lt;=G41)*($AG$3:$AG$102&gt;=F41),$AG$3:$AG$102,""))</f>
        <v>0</v>
      </c>
      <c r="Z51" s="73">
        <v>49</v>
      </c>
      <c r="AA51" s="74" t="str">
        <f>IF(AH51="×","",分銅情報入力シート!U14)</f>
        <v/>
      </c>
      <c r="AB51" s="74" t="str">
        <f>IF(AH51="×","",分銅情報入力シート!V14)</f>
        <v/>
      </c>
      <c r="AC51" s="74" t="str">
        <f>IF(AH51="×","",分銅情報入力シート!W14)</f>
        <v/>
      </c>
      <c r="AD51" s="99" t="str">
        <f>IF(AH51="×","",IF(OR(分銅情報入力シート!X14="",分銅情報入力シート!X14="　"),"",分銅情報入力シート!X14))</f>
        <v/>
      </c>
      <c r="AE51" s="101" t="str">
        <f>IF(AH51="×","",分銅情報入力シート!Y14)</f>
        <v/>
      </c>
      <c r="AG51" t="str">
        <f t="shared" si="0"/>
        <v/>
      </c>
      <c r="AH51" s="70" t="str">
        <f>IF(AND(分銅情報入力シート!U14&lt;&gt;"",分銅情報入力シート!U14&lt;&gt;"",分銅情報入力シート!U14&lt;&gt;"",分銅情報入力シート!U14&lt;&gt;""),"〇","×")</f>
        <v>×</v>
      </c>
    </row>
    <row r="52" spans="1:34">
      <c r="A52" s="70" t="s">
        <v>114</v>
      </c>
      <c r="B52" s="84"/>
      <c r="C52" s="85"/>
      <c r="D52" s="84">
        <f t="array" ref="D52">MIN(IF(($AG$3:$AG$102&lt;=E42)*($AG$3:$AG$102&gt;=D42),$AG$3:$AG$102,""))</f>
        <v>0</v>
      </c>
      <c r="E52" s="85">
        <f t="array" ref="E52">MAX(IF(($AG$3:$AG$102&lt;=E42)*($AG$3:$AG$102&gt;=D42),$AG$3:$AG$102,""))</f>
        <v>0</v>
      </c>
      <c r="F52" s="84">
        <f t="array" ref="F52">MIN(IF(($AG$3:$AG$102&lt;=G42)*($AG$3:$AG$102&gt;=F42),$AG$3:$AG$102,""))</f>
        <v>0</v>
      </c>
      <c r="G52" s="85">
        <f t="array" ref="G52">MAX(IF(($AG$3:$AG$102&lt;=G42)*($AG$3:$AG$102&gt;=F42),$AG$3:$AG$102,""))</f>
        <v>0</v>
      </c>
      <c r="Z52" s="73">
        <v>50</v>
      </c>
      <c r="AA52" s="74" t="str">
        <f>IF(AH52="×","",分銅情報入力シート!U15)</f>
        <v/>
      </c>
      <c r="AB52" s="74" t="str">
        <f>IF(AH52="×","",分銅情報入力シート!V15)</f>
        <v/>
      </c>
      <c r="AC52" s="74" t="str">
        <f>IF(AH52="×","",分銅情報入力シート!W15)</f>
        <v/>
      </c>
      <c r="AD52" s="99" t="str">
        <f>IF(AH52="×","",IF(OR(分銅情報入力シート!X15="",分銅情報入力シート!X15="　"),"",分銅情報入力シート!X15))</f>
        <v/>
      </c>
      <c r="AE52" s="101" t="str">
        <f>IF(AH52="×","",分銅情報入力シート!Y15)</f>
        <v/>
      </c>
      <c r="AG52" t="str">
        <f t="shared" si="0"/>
        <v/>
      </c>
      <c r="AH52" s="70" t="str">
        <f>IF(AND(分銅情報入力シート!U15&lt;&gt;"",分銅情報入力シート!U15&lt;&gt;"",分銅情報入力シート!U15&lt;&gt;"",分銅情報入力シート!U15&lt;&gt;""),"〇","×")</f>
        <v>×</v>
      </c>
    </row>
    <row r="53" spans="1:34">
      <c r="Z53" s="73">
        <v>51</v>
      </c>
      <c r="AA53" s="74" t="str">
        <f>IF(AH53="×","",分銅情報入力シート!U16)</f>
        <v/>
      </c>
      <c r="AB53" s="74" t="str">
        <f>IF(AH53="×","",分銅情報入力シート!V16)</f>
        <v/>
      </c>
      <c r="AC53" s="74" t="str">
        <f>IF(AH53="×","",分銅情報入力シート!W16)</f>
        <v/>
      </c>
      <c r="AD53" s="99" t="str">
        <f>IF(AH53="×","",IF(OR(分銅情報入力シート!X16="",分銅情報入力シート!X16="　"),"",分銅情報入力シート!X16))</f>
        <v/>
      </c>
      <c r="AE53" s="101" t="str">
        <f>IF(AH53="×","",分銅情報入力シート!Y16)</f>
        <v/>
      </c>
      <c r="AG53" t="str">
        <f t="shared" si="0"/>
        <v/>
      </c>
      <c r="AH53" s="70" t="str">
        <f>IF(AND(分銅情報入力シート!U16&lt;&gt;"",分銅情報入力シート!U16&lt;&gt;"",分銅情報入力シート!U16&lt;&gt;"",分銅情報入力シート!U16&lt;&gt;""),"〇","×")</f>
        <v>×</v>
      </c>
    </row>
    <row r="54" spans="1:34">
      <c r="Z54" s="73">
        <v>52</v>
      </c>
      <c r="AA54" s="74" t="str">
        <f>IF(AH54="×","",分銅情報入力シート!U17)</f>
        <v/>
      </c>
      <c r="AB54" s="74" t="str">
        <f>IF(AH54="×","",分銅情報入力シート!V17)</f>
        <v/>
      </c>
      <c r="AC54" s="74" t="str">
        <f>IF(AH54="×","",分銅情報入力シート!W17)</f>
        <v/>
      </c>
      <c r="AD54" s="99" t="str">
        <f>IF(AH54="×","",IF(OR(分銅情報入力シート!X17="",分銅情報入力シート!X17="　"),"",分銅情報入力シート!X17))</f>
        <v/>
      </c>
      <c r="AE54" s="101" t="str">
        <f>IF(AH54="×","",分銅情報入力シート!Y17)</f>
        <v/>
      </c>
      <c r="AG54" t="str">
        <f t="shared" si="0"/>
        <v/>
      </c>
      <c r="AH54" s="70" t="str">
        <f>IF(AND(分銅情報入力シート!U17&lt;&gt;"",分銅情報入力シート!U17&lt;&gt;"",分銅情報入力シート!U17&lt;&gt;"",分銅情報入力シート!U17&lt;&gt;""),"〇","×")</f>
        <v>×</v>
      </c>
    </row>
    <row r="55" spans="1:34">
      <c r="A55" s="70" t="s">
        <v>118</v>
      </c>
      <c r="B55" s="304" t="s">
        <v>382</v>
      </c>
      <c r="C55" s="304"/>
      <c r="D55" s="304"/>
      <c r="E55" s="304"/>
      <c r="F55" s="304"/>
      <c r="G55" s="304"/>
      <c r="K55" s="304" t="s">
        <v>384</v>
      </c>
      <c r="L55" s="304"/>
      <c r="M55" s="304"/>
      <c r="N55" s="304"/>
      <c r="O55" s="304"/>
      <c r="P55" s="304"/>
      <c r="R55" s="304" t="s">
        <v>385</v>
      </c>
      <c r="S55" s="304"/>
      <c r="T55" s="304"/>
      <c r="U55" s="304"/>
      <c r="V55" s="304"/>
      <c r="W55" s="304"/>
      <c r="Z55" s="73">
        <v>53</v>
      </c>
      <c r="AA55" s="74" t="str">
        <f>IF(AH55="×","",分銅情報入力シート!U18)</f>
        <v/>
      </c>
      <c r="AB55" s="74" t="str">
        <f>IF(AH55="×","",分銅情報入力シート!V18)</f>
        <v/>
      </c>
      <c r="AC55" s="74" t="str">
        <f>IF(AH55="×","",分銅情報入力シート!W18)</f>
        <v/>
      </c>
      <c r="AD55" s="99" t="str">
        <f>IF(AH55="×","",IF(OR(分銅情報入力シート!X18="",分銅情報入力シート!X18="　"),"",分銅情報入力シート!X18))</f>
        <v/>
      </c>
      <c r="AE55" s="101" t="str">
        <f>IF(AH55="×","",分銅情報入力シート!Y18)</f>
        <v/>
      </c>
      <c r="AG55" t="str">
        <f t="shared" si="0"/>
        <v/>
      </c>
      <c r="AH55" s="70" t="str">
        <f>IF(AND(分銅情報入力シート!U18&lt;&gt;"",分銅情報入力シート!U18&lt;&gt;"",分銅情報入力シート!U18&lt;&gt;"",分銅情報入力シート!U18&lt;&gt;""),"〇","×")</f>
        <v>×</v>
      </c>
    </row>
    <row r="56" spans="1:34">
      <c r="B56" s="304" t="s">
        <v>361</v>
      </c>
      <c r="C56" s="304"/>
      <c r="D56" s="304" t="s">
        <v>383</v>
      </c>
      <c r="E56" s="304"/>
      <c r="F56" s="304" t="s">
        <v>386</v>
      </c>
      <c r="G56" s="304"/>
      <c r="K56" s="304" t="s">
        <v>361</v>
      </c>
      <c r="L56" s="304"/>
      <c r="M56" s="304" t="s">
        <v>383</v>
      </c>
      <c r="N56" s="304"/>
      <c r="O56" s="304" t="s">
        <v>386</v>
      </c>
      <c r="P56" s="304"/>
      <c r="R56" s="304" t="s">
        <v>361</v>
      </c>
      <c r="S56" s="304"/>
      <c r="T56" s="304" t="s">
        <v>383</v>
      </c>
      <c r="U56" s="304"/>
      <c r="V56" s="304" t="s">
        <v>386</v>
      </c>
      <c r="W56" s="304"/>
      <c r="Z56" s="73">
        <v>54</v>
      </c>
      <c r="AA56" s="74" t="str">
        <f>IF(AH56="×","",分銅情報入力シート!U19)</f>
        <v/>
      </c>
      <c r="AB56" s="74" t="str">
        <f>IF(AH56="×","",分銅情報入力シート!V19)</f>
        <v/>
      </c>
      <c r="AC56" s="74" t="str">
        <f>IF(AH56="×","",分銅情報入力シート!W19)</f>
        <v/>
      </c>
      <c r="AD56" s="99" t="str">
        <f>IF(AH56="×","",IF(OR(分銅情報入力シート!X19="",分銅情報入力シート!X19="　"),"",分銅情報入力シート!X19))</f>
        <v/>
      </c>
      <c r="AE56" s="101" t="str">
        <f>IF(AH56="×","",分銅情報入力シート!Y19)</f>
        <v/>
      </c>
      <c r="AG56" t="str">
        <f t="shared" si="0"/>
        <v/>
      </c>
      <c r="AH56" s="70" t="str">
        <f>IF(AND(分銅情報入力シート!U19&lt;&gt;"",分銅情報入力シート!U19&lt;&gt;"",分銅情報入力シート!U19&lt;&gt;"",分銅情報入力シート!U19&lt;&gt;""),"〇","×")</f>
        <v>×</v>
      </c>
    </row>
    <row r="57" spans="1:34">
      <c r="A57" s="70" t="s">
        <v>109</v>
      </c>
      <c r="B57" s="84" t="str">
        <f>IF(B47=0,"",IF(B47&lt;1,B47*1000&amp;"mg",IF(B47&gt;1000,B47/1000&amp;"kg",B47&amp;"g")))</f>
        <v/>
      </c>
      <c r="C57" s="85" t="str">
        <f>IF(C47=0,"",IF(C47&lt;1,C47*1000&amp;"mg",IF(C47&gt;1000,C47/1000&amp;"kg",C47&amp;"g")))</f>
        <v/>
      </c>
      <c r="D57" s="84" t="str">
        <f t="shared" ref="D57:G62" si="18">IF(D47=0,"",IF(D47&lt;1,D47*1000&amp;"mg",IF(D47&gt;1000,D47/1000&amp;"kg",D47&amp;"g")))</f>
        <v/>
      </c>
      <c r="E57" s="85" t="str">
        <f t="shared" si="18"/>
        <v/>
      </c>
      <c r="F57" s="84" t="str">
        <f>IF(F47=0,"",IF(F47&lt;1,F47*1000&amp;"mg",IF(F47&gt;1000,F47/1000&amp;"kg",F47&amp;"g")))</f>
        <v/>
      </c>
      <c r="G57" s="85" t="str">
        <f>IF(G47=0,"",IF(G47&lt;1,G47*1000&amp;"mg",IF(G47&gt;1000,G47/1000&amp;"kg",G47&amp;"g")))</f>
        <v/>
      </c>
      <c r="K57" s="84" t="str">
        <f t="shared" ref="K57:P59" si="19">IF(K47=0,"",IF(K47&lt;1,K47*1000&amp;"mg",IF(K47&gt;1000,K47/1000&amp;"kg",K47&amp;"g")))</f>
        <v/>
      </c>
      <c r="L57" s="85" t="str">
        <f t="shared" si="19"/>
        <v/>
      </c>
      <c r="M57" s="84" t="str">
        <f t="shared" si="19"/>
        <v/>
      </c>
      <c r="N57" s="85" t="str">
        <f t="shared" si="19"/>
        <v/>
      </c>
      <c r="O57" s="84" t="str">
        <f t="shared" si="19"/>
        <v/>
      </c>
      <c r="P57" s="85" t="str">
        <f t="shared" si="19"/>
        <v/>
      </c>
      <c r="R57" s="84" t="str">
        <f t="shared" ref="R57:W58" si="20">IF(R47=0,"",IF(R47&lt;1,R47*1000&amp;"mg",IF(R47&gt;1000,R47/1000&amp;"kg",R47&amp;"g")))</f>
        <v/>
      </c>
      <c r="S57" s="85" t="str">
        <f t="shared" si="20"/>
        <v/>
      </c>
      <c r="T57" s="84" t="str">
        <f t="shared" si="20"/>
        <v/>
      </c>
      <c r="U57" s="85" t="str">
        <f t="shared" si="20"/>
        <v/>
      </c>
      <c r="V57" s="84" t="str">
        <f t="shared" si="20"/>
        <v/>
      </c>
      <c r="W57" s="85" t="str">
        <f t="shared" si="20"/>
        <v/>
      </c>
      <c r="Z57" s="73">
        <v>55</v>
      </c>
      <c r="AA57" s="74" t="str">
        <f>IF(AH57="×","",分銅情報入力シート!U20)</f>
        <v/>
      </c>
      <c r="AB57" s="74" t="str">
        <f>IF(AH57="×","",分銅情報入力シート!V20)</f>
        <v/>
      </c>
      <c r="AC57" s="74" t="str">
        <f>IF(AH57="×","",分銅情報入力シート!W20)</f>
        <v/>
      </c>
      <c r="AD57" s="99" t="str">
        <f>IF(AH57="×","",IF(OR(分銅情報入力シート!X20="",分銅情報入力シート!X20="　"),"",分銅情報入力シート!X20))</f>
        <v/>
      </c>
      <c r="AE57" s="101" t="str">
        <f>IF(AH57="×","",分銅情報入力シート!Y20)</f>
        <v/>
      </c>
      <c r="AG57" t="str">
        <f t="shared" si="0"/>
        <v/>
      </c>
      <c r="AH57" s="70" t="str">
        <f>IF(AND(分銅情報入力シート!U20&lt;&gt;"",分銅情報入力シート!U20&lt;&gt;"",分銅情報入力シート!U20&lt;&gt;"",分銅情報入力シート!U20&lt;&gt;""),"〇","×")</f>
        <v>×</v>
      </c>
    </row>
    <row r="58" spans="1:34">
      <c r="A58" s="70" t="s">
        <v>110</v>
      </c>
      <c r="B58" s="84" t="str">
        <f>IF(B48=0,"",IF(B48&lt;1,B48*1000&amp;"mg",IF(B48&gt;1000,B48/1000&amp;"kg",B48&amp;"g")))</f>
        <v/>
      </c>
      <c r="C58" s="85" t="str">
        <f>IF(C48=0,"",IF(C48&lt;1,C48*1000&amp;"mg",IF(C48&gt;1000,C48/1000&amp;"kg",C48&amp;"g")))</f>
        <v/>
      </c>
      <c r="D58" s="84" t="str">
        <f t="shared" si="18"/>
        <v/>
      </c>
      <c r="E58" s="85" t="str">
        <f t="shared" si="18"/>
        <v/>
      </c>
      <c r="F58" s="84" t="str">
        <f t="shared" si="18"/>
        <v/>
      </c>
      <c r="G58" s="85" t="str">
        <f t="shared" si="18"/>
        <v/>
      </c>
      <c r="K58" s="84" t="str">
        <f t="shared" si="19"/>
        <v/>
      </c>
      <c r="L58" s="85" t="str">
        <f t="shared" si="19"/>
        <v/>
      </c>
      <c r="M58" s="84" t="str">
        <f t="shared" si="19"/>
        <v/>
      </c>
      <c r="N58" s="85" t="str">
        <f t="shared" si="19"/>
        <v/>
      </c>
      <c r="O58" s="84" t="str">
        <f t="shared" si="19"/>
        <v/>
      </c>
      <c r="P58" s="85" t="str">
        <f t="shared" si="19"/>
        <v/>
      </c>
      <c r="R58" s="84" t="str">
        <f t="shared" si="20"/>
        <v/>
      </c>
      <c r="S58" s="85" t="str">
        <f t="shared" si="20"/>
        <v/>
      </c>
      <c r="T58" s="84" t="str">
        <f t="shared" si="20"/>
        <v/>
      </c>
      <c r="U58" s="85" t="str">
        <f t="shared" si="20"/>
        <v/>
      </c>
      <c r="V58" s="84" t="str">
        <f t="shared" si="20"/>
        <v/>
      </c>
      <c r="W58" s="85" t="str">
        <f t="shared" si="20"/>
        <v/>
      </c>
      <c r="Z58" s="73">
        <v>56</v>
      </c>
      <c r="AA58" s="74" t="str">
        <f>IF(AH58="×","",分銅情報入力シート!U21)</f>
        <v/>
      </c>
      <c r="AB58" s="74" t="str">
        <f>IF(AH58="×","",分銅情報入力シート!V21)</f>
        <v/>
      </c>
      <c r="AC58" s="74" t="str">
        <f>IF(AH58="×","",分銅情報入力シート!W21)</f>
        <v/>
      </c>
      <c r="AD58" s="99" t="str">
        <f>IF(AH58="×","",IF(OR(分銅情報入力シート!X21="",分銅情報入力シート!X21="　"),"",分銅情報入力シート!X21))</f>
        <v/>
      </c>
      <c r="AE58" s="101" t="str">
        <f>IF(AH58="×","",分銅情報入力シート!Y21)</f>
        <v/>
      </c>
      <c r="AG58" t="str">
        <f t="shared" si="0"/>
        <v/>
      </c>
      <c r="AH58" s="70" t="str">
        <f>IF(AND(分銅情報入力シート!U21&lt;&gt;"",分銅情報入力シート!U21&lt;&gt;"",分銅情報入力シート!U21&lt;&gt;"",分銅情報入力シート!U21&lt;&gt;""),"〇","×")</f>
        <v>×</v>
      </c>
    </row>
    <row r="59" spans="1:34">
      <c r="A59" s="70" t="s">
        <v>111</v>
      </c>
      <c r="B59" s="84"/>
      <c r="C59" s="85"/>
      <c r="D59" s="84" t="str">
        <f t="shared" si="18"/>
        <v/>
      </c>
      <c r="E59" s="85" t="str">
        <f t="shared" si="18"/>
        <v/>
      </c>
      <c r="F59" s="84" t="str">
        <f t="shared" si="18"/>
        <v/>
      </c>
      <c r="G59" s="85" t="str">
        <f t="shared" si="18"/>
        <v/>
      </c>
      <c r="K59" s="77"/>
      <c r="L59" s="76"/>
      <c r="M59" s="84" t="str">
        <f t="shared" si="19"/>
        <v/>
      </c>
      <c r="N59" s="85" t="str">
        <f t="shared" si="19"/>
        <v/>
      </c>
      <c r="O59" s="84" t="str">
        <f t="shared" si="19"/>
        <v/>
      </c>
      <c r="P59" s="85" t="str">
        <f t="shared" si="19"/>
        <v/>
      </c>
      <c r="Z59" s="73">
        <v>57</v>
      </c>
      <c r="AA59" s="74" t="str">
        <f>IF(AH59="×","",分銅情報入力シート!U22)</f>
        <v/>
      </c>
      <c r="AB59" s="74" t="str">
        <f>IF(AH59="×","",分銅情報入力シート!V22)</f>
        <v/>
      </c>
      <c r="AC59" s="74" t="str">
        <f>IF(AH59="×","",分銅情報入力シート!W22)</f>
        <v/>
      </c>
      <c r="AD59" s="99" t="str">
        <f>IF(AH59="×","",IF(OR(分銅情報入力シート!X22="",分銅情報入力シート!X22="　"),"",分銅情報入力シート!X22))</f>
        <v/>
      </c>
      <c r="AE59" s="101" t="str">
        <f>IF(AH59="×","",分銅情報入力シート!Y22)</f>
        <v/>
      </c>
      <c r="AG59" t="str">
        <f t="shared" si="0"/>
        <v/>
      </c>
      <c r="AH59" s="70" t="str">
        <f>IF(AND(分銅情報入力シート!U22&lt;&gt;"",分銅情報入力シート!U22&lt;&gt;"",分銅情報入力シート!U22&lt;&gt;"",分銅情報入力シート!U22&lt;&gt;""),"〇","×")</f>
        <v>×</v>
      </c>
    </row>
    <row r="60" spans="1:34">
      <c r="A60" s="70" t="s">
        <v>112</v>
      </c>
      <c r="B60" s="84"/>
      <c r="C60" s="85"/>
      <c r="D60" s="84" t="str">
        <f t="shared" si="18"/>
        <v/>
      </c>
      <c r="E60" s="85" t="str">
        <f t="shared" si="18"/>
        <v/>
      </c>
      <c r="F60" s="84" t="str">
        <f t="shared" si="18"/>
        <v/>
      </c>
      <c r="G60" s="85" t="str">
        <f t="shared" si="18"/>
        <v/>
      </c>
      <c r="Z60" s="73">
        <v>58</v>
      </c>
      <c r="AA60" s="74" t="str">
        <f>IF(AH60="×","",分銅情報入力シート!U23)</f>
        <v/>
      </c>
      <c r="AB60" s="74" t="str">
        <f>IF(AH60="×","",分銅情報入力シート!V23)</f>
        <v/>
      </c>
      <c r="AC60" s="74" t="str">
        <f>IF(AH60="×","",分銅情報入力シート!W23)</f>
        <v/>
      </c>
      <c r="AD60" s="99" t="str">
        <f>IF(AH60="×","",IF(OR(分銅情報入力シート!X23="",分銅情報入力シート!X23="　"),"",分銅情報入力シート!X23))</f>
        <v/>
      </c>
      <c r="AE60" s="101" t="str">
        <f>IF(AH60="×","",分銅情報入力シート!Y23)</f>
        <v/>
      </c>
      <c r="AG60" t="str">
        <f t="shared" si="0"/>
        <v/>
      </c>
      <c r="AH60" s="70" t="str">
        <f>IF(AND(分銅情報入力シート!U23&lt;&gt;"",分銅情報入力シート!U23&lt;&gt;"",分銅情報入力シート!U23&lt;&gt;"",分銅情報入力シート!U23&lt;&gt;""),"〇","×")</f>
        <v>×</v>
      </c>
    </row>
    <row r="61" spans="1:34">
      <c r="A61" s="70" t="s">
        <v>113</v>
      </c>
      <c r="B61" s="84"/>
      <c r="C61" s="85"/>
      <c r="D61" s="84" t="str">
        <f t="shared" si="18"/>
        <v/>
      </c>
      <c r="E61" s="85" t="str">
        <f t="shared" si="18"/>
        <v/>
      </c>
      <c r="F61" s="84" t="str">
        <f t="shared" si="18"/>
        <v/>
      </c>
      <c r="G61" s="85" t="str">
        <f t="shared" si="18"/>
        <v/>
      </c>
      <c r="Z61" s="73">
        <v>59</v>
      </c>
      <c r="AA61" s="74" t="str">
        <f>IF(AH61="×","",分銅情報入力シート!U24)</f>
        <v/>
      </c>
      <c r="AB61" s="74" t="str">
        <f>IF(AH61="×","",分銅情報入力シート!V24)</f>
        <v/>
      </c>
      <c r="AC61" s="74" t="str">
        <f>IF(AH61="×","",分銅情報入力シート!W24)</f>
        <v/>
      </c>
      <c r="AD61" s="99" t="str">
        <f>IF(AH61="×","",IF(OR(分銅情報入力シート!X24="",分銅情報入力シート!X24="　"),"",分銅情報入力シート!X24))</f>
        <v/>
      </c>
      <c r="AE61" s="101" t="str">
        <f>IF(AH61="×","",分銅情報入力シート!Y24)</f>
        <v/>
      </c>
      <c r="AG61" t="str">
        <f t="shared" si="0"/>
        <v/>
      </c>
      <c r="AH61" s="70" t="str">
        <f>IF(AND(分銅情報入力シート!U24&lt;&gt;"",分銅情報入力シート!U24&lt;&gt;"",分銅情報入力シート!U24&lt;&gt;"",分銅情報入力シート!U24&lt;&gt;""),"〇","×")</f>
        <v>×</v>
      </c>
    </row>
    <row r="62" spans="1:34">
      <c r="A62" s="70" t="s">
        <v>114</v>
      </c>
      <c r="B62" s="84"/>
      <c r="C62" s="85"/>
      <c r="D62" s="84" t="str">
        <f t="shared" si="18"/>
        <v/>
      </c>
      <c r="E62" s="85" t="str">
        <f t="shared" si="18"/>
        <v/>
      </c>
      <c r="F62" s="84" t="str">
        <f t="shared" si="18"/>
        <v/>
      </c>
      <c r="G62" s="85" t="str">
        <f t="shared" si="18"/>
        <v/>
      </c>
      <c r="Z62" s="73">
        <v>60</v>
      </c>
      <c r="AA62" s="74" t="str">
        <f>IF(AH62="×","",分銅情報入力シート!U25)</f>
        <v/>
      </c>
      <c r="AB62" s="74" t="str">
        <f>IF(AH62="×","",分銅情報入力シート!V25)</f>
        <v/>
      </c>
      <c r="AC62" s="74" t="str">
        <f>IF(AH62="×","",分銅情報入力シート!W25)</f>
        <v/>
      </c>
      <c r="AD62" s="99" t="str">
        <f>IF(AH62="×","",IF(OR(分銅情報入力シート!X25="",分銅情報入力シート!X25="　"),"",分銅情報入力シート!X25))</f>
        <v/>
      </c>
      <c r="AE62" s="101" t="str">
        <f>IF(AH62="×","",分銅情報入力シート!Y25)</f>
        <v/>
      </c>
      <c r="AG62" t="str">
        <f t="shared" si="0"/>
        <v/>
      </c>
      <c r="AH62" s="70" t="str">
        <f>IF(AND(分銅情報入力シート!U25&lt;&gt;"",分銅情報入力シート!U25&lt;&gt;"",分銅情報入力シート!U25&lt;&gt;"",分銅情報入力シート!U25&lt;&gt;""),"〇","×")</f>
        <v>×</v>
      </c>
    </row>
    <row r="63" spans="1:34">
      <c r="A63" s="70" t="s">
        <v>121</v>
      </c>
      <c r="B63" s="70" t="str">
        <f>IF(MIN(AG3:AG102)&lt;1,MIN(AG3:AG102)*1000&amp;"mg",IF(MIN(AG3:AG102)&gt;1000,MIN(AG3:AG102)/1000&amp;"kg",MIN(AG3:AG102)&amp;"g"))</f>
        <v>0mg</v>
      </c>
      <c r="C63" s="70" t="str">
        <f>IF(MAX(AG3:AG102)&lt;1,MAX(AG3:AG102)*1000&amp;"mg",IF(MAX(AG3:AG102)&gt;1000,MAX(AG3:AG102)/1000&amp;"kg",MAX(AG3:AG102)&amp;"g"))</f>
        <v>0mg</v>
      </c>
      <c r="Z63" s="73">
        <v>61</v>
      </c>
      <c r="AA63" s="74" t="str">
        <f>IF(AH63="×","",分銅情報入力シート!AA11)</f>
        <v/>
      </c>
      <c r="AB63" s="74" t="str">
        <f>IF(AH63="×","",分銅情報入力シート!AB11)</f>
        <v/>
      </c>
      <c r="AC63" s="74" t="str">
        <f>IF(AH63="×","",分銅情報入力シート!AC11)</f>
        <v/>
      </c>
      <c r="AD63" s="99" t="str">
        <f>IF(AH63="×","",IF(OR(分銅情報入力シート!AD11="",分銅情報入力シート!AD11="　"),"",分銅情報入力シート!AD11))</f>
        <v/>
      </c>
      <c r="AE63" s="101" t="str">
        <f>IF(AH63="×","",分銅情報入力シート!AE11)</f>
        <v/>
      </c>
      <c r="AG63" t="str">
        <f t="shared" si="0"/>
        <v/>
      </c>
      <c r="AH63" s="70" t="str">
        <f>IF(AND(分銅情報入力シート!AA11&lt;&gt;"",分銅情報入力シート!AA11&lt;&gt;"",分銅情報入力シート!AA11&lt;&gt;"",分銅情報入力シート!AA11&lt;&gt;""),"〇","×")</f>
        <v>×</v>
      </c>
    </row>
    <row r="64" spans="1:34">
      <c r="Z64" s="73">
        <v>62</v>
      </c>
      <c r="AA64" s="74" t="str">
        <f>IF(AH64="×","",分銅情報入力シート!AA12)</f>
        <v/>
      </c>
      <c r="AB64" s="74" t="str">
        <f>IF(AH64="×","",分銅情報入力シート!AB12)</f>
        <v/>
      </c>
      <c r="AC64" s="74" t="str">
        <f>IF(AH64="×","",分銅情報入力シート!AC12)</f>
        <v/>
      </c>
      <c r="AD64" s="99" t="str">
        <f>IF(AH64="×","",IF(OR(分銅情報入力シート!AD12="",分銅情報入力シート!AD12="　"),"",分銅情報入力シート!AD12))</f>
        <v/>
      </c>
      <c r="AE64" s="101" t="str">
        <f>IF(AH64="×","",分銅情報入力シート!AE12)</f>
        <v/>
      </c>
      <c r="AG64" t="str">
        <f t="shared" si="0"/>
        <v/>
      </c>
      <c r="AH64" s="70" t="str">
        <f>IF(AND(分銅情報入力シート!AA12&lt;&gt;"",分銅情報入力シート!AA12&lt;&gt;"",分銅情報入力シート!AA12&lt;&gt;"",分銅情報入力シート!AA12&lt;&gt;""),"〇","×")</f>
        <v>×</v>
      </c>
    </row>
    <row r="65" spans="1:34">
      <c r="Z65" s="73">
        <v>63</v>
      </c>
      <c r="AA65" s="74" t="str">
        <f>IF(AH65="×","",分銅情報入力シート!AA13)</f>
        <v/>
      </c>
      <c r="AB65" s="74" t="str">
        <f>IF(AH65="×","",分銅情報入力シート!AB13)</f>
        <v/>
      </c>
      <c r="AC65" s="74" t="str">
        <f>IF(AH65="×","",分銅情報入力シート!AC13)</f>
        <v/>
      </c>
      <c r="AD65" s="99" t="str">
        <f>IF(AH65="×","",IF(OR(分銅情報入力シート!AD13="",分銅情報入力シート!AD13="　"),"",分銅情報入力シート!AD13))</f>
        <v/>
      </c>
      <c r="AE65" s="101" t="str">
        <f>IF(AH65="×","",分銅情報入力シート!AE13)</f>
        <v/>
      </c>
      <c r="AG65" t="str">
        <f t="shared" si="0"/>
        <v/>
      </c>
      <c r="AH65" s="70" t="str">
        <f>IF(AND(分銅情報入力シート!AA13&lt;&gt;"",分銅情報入力シート!AA13&lt;&gt;"",分銅情報入力シート!AA13&lt;&gt;"",分銅情報入力シート!AA13&lt;&gt;""),"〇","×")</f>
        <v>×</v>
      </c>
    </row>
    <row r="66" spans="1:34">
      <c r="A66" s="70" t="s">
        <v>123</v>
      </c>
      <c r="B66" s="70">
        <f>分銅情報入力シート!E2</f>
        <v>0</v>
      </c>
      <c r="Z66" s="73">
        <v>64</v>
      </c>
      <c r="AA66" s="74" t="str">
        <f>IF(AH66="×","",分銅情報入力シート!AA14)</f>
        <v/>
      </c>
      <c r="AB66" s="74" t="str">
        <f>IF(AH66="×","",分銅情報入力シート!AB14)</f>
        <v/>
      </c>
      <c r="AC66" s="74" t="str">
        <f>IF(AH66="×","",分銅情報入力シート!AC14)</f>
        <v/>
      </c>
      <c r="AD66" s="99" t="str">
        <f>IF(AH66="×","",IF(OR(分銅情報入力シート!AD14="",分銅情報入力シート!AD14="　"),"",分銅情報入力シート!AD14))</f>
        <v/>
      </c>
      <c r="AE66" s="101" t="str">
        <f>IF(AH66="×","",分銅情報入力シート!AE14)</f>
        <v/>
      </c>
      <c r="AG66" t="str">
        <f t="shared" si="0"/>
        <v/>
      </c>
      <c r="AH66" s="70" t="str">
        <f>IF(AND(分銅情報入力シート!AA14&lt;&gt;"",分銅情報入力シート!AA14&lt;&gt;"",分銅情報入力シート!AA14&lt;&gt;"",分銅情報入力シート!AA14&lt;&gt;""),"〇","×")</f>
        <v>×</v>
      </c>
    </row>
    <row r="67" spans="1:34">
      <c r="B67" s="304" t="s">
        <v>124</v>
      </c>
      <c r="C67" s="304"/>
      <c r="D67" s="304"/>
      <c r="E67" s="304"/>
      <c r="K67" s="304" t="s">
        <v>125</v>
      </c>
      <c r="L67" s="304"/>
      <c r="M67" s="304"/>
      <c r="N67" s="304"/>
      <c r="R67" s="304" t="s">
        <v>126</v>
      </c>
      <c r="S67" s="304"/>
      <c r="T67" s="304"/>
      <c r="U67" s="304"/>
      <c r="Z67" s="73">
        <v>65</v>
      </c>
      <c r="AA67" s="74" t="str">
        <f>IF(AH67="×","",分銅情報入力シート!AA15)</f>
        <v/>
      </c>
      <c r="AB67" s="74" t="str">
        <f>IF(AH67="×","",分銅情報入力シート!AB15)</f>
        <v/>
      </c>
      <c r="AC67" s="74" t="str">
        <f>IF(AH67="×","",分銅情報入力シート!AC15)</f>
        <v/>
      </c>
      <c r="AD67" s="99" t="str">
        <f>IF(AH67="×","",IF(OR(分銅情報入力シート!AD15="",分銅情報入力シート!AD15="　"),"",分銅情報入力シート!AD15))</f>
        <v/>
      </c>
      <c r="AE67" s="101" t="str">
        <f>IF(AH67="×","",分銅情報入力シート!AE15)</f>
        <v/>
      </c>
      <c r="AG67" t="str">
        <f t="shared" si="0"/>
        <v/>
      </c>
      <c r="AH67" s="70" t="str">
        <f>IF(AND(分銅情報入力シート!AA15&lt;&gt;"",分銅情報入力シート!AA15&lt;&gt;"",分銅情報入力シート!AA15&lt;&gt;"",分銅情報入力シート!AA15&lt;&gt;""),"〇","×")</f>
        <v>×</v>
      </c>
    </row>
    <row r="68" spans="1:34">
      <c r="B68" s="304" t="s">
        <v>122</v>
      </c>
      <c r="C68" s="304"/>
      <c r="D68" s="92" t="s">
        <v>115</v>
      </c>
      <c r="E68" s="92" t="s">
        <v>116</v>
      </c>
      <c r="F68" s="70" t="s">
        <v>117</v>
      </c>
      <c r="K68" s="304" t="s">
        <v>122</v>
      </c>
      <c r="L68" s="304"/>
      <c r="M68" s="92" t="s">
        <v>115</v>
      </c>
      <c r="N68" s="92" t="s">
        <v>116</v>
      </c>
      <c r="O68" s="70" t="s">
        <v>117</v>
      </c>
      <c r="R68" s="304" t="s">
        <v>122</v>
      </c>
      <c r="S68" s="304"/>
      <c r="T68" s="92" t="s">
        <v>115</v>
      </c>
      <c r="U68" s="92" t="s">
        <v>116</v>
      </c>
      <c r="V68" s="70" t="s">
        <v>117</v>
      </c>
      <c r="Z68" s="73">
        <v>66</v>
      </c>
      <c r="AA68" s="74" t="str">
        <f>IF(AH68="×","",分銅情報入力シート!AA16)</f>
        <v/>
      </c>
      <c r="AB68" s="74" t="str">
        <f>IF(AH68="×","",分銅情報入力シート!AB16)</f>
        <v/>
      </c>
      <c r="AC68" s="74" t="str">
        <f>IF(AH68="×","",分銅情報入力シート!AC16)</f>
        <v/>
      </c>
      <c r="AD68" s="99" t="str">
        <f>IF(AH68="×","",IF(OR(分銅情報入力シート!AD16="",分銅情報入力シート!AD16="　"),"",分銅情報入力シート!AD16))</f>
        <v/>
      </c>
      <c r="AE68" s="101" t="str">
        <f>IF(AH68="×","",分銅情報入力シート!AE16)</f>
        <v/>
      </c>
      <c r="AG68" t="str">
        <f t="shared" ref="AG68:AG102" si="21">IF(AA68="","",IF(AB68="t",AA68*1000000,IF(AB68="kg",AA68*1000,IF(AB68="mg",AA68/1000,IF(AB68="g",AA68,"")))))</f>
        <v/>
      </c>
      <c r="AH68" s="70" t="str">
        <f>IF(AND(分銅情報入力シート!AA16&lt;&gt;"",分銅情報入力シート!AA16&lt;&gt;"",分銅情報入力シート!AA16&lt;&gt;"",分銅情報入力シート!AA16&lt;&gt;""),"〇","×")</f>
        <v>×</v>
      </c>
    </row>
    <row r="69" spans="1:34">
      <c r="A69" s="70">
        <v>1</v>
      </c>
      <c r="B69" s="300" t="str">
        <f>IF($B$66="一級(F2)",IF(C57=B57,C57,C57&amp;"～"&amp;B57),IF($B$66="二級(M1)",IF(E57=D57,E57,E57&amp;"～"&amp;D57),IF(G57=F57,G57,G57&amp;"～"&amp;F57)))</f>
        <v/>
      </c>
      <c r="C69" s="300"/>
      <c r="D69" s="91">
        <f t="shared" ref="D69:D74" si="22">IF($B$66="一級(F2)",B17,IF($B$66="二級(M1)",D17,F17))</f>
        <v>0</v>
      </c>
      <c r="E69" s="91">
        <f t="shared" ref="E69:E74" si="23">IF($B$66="一級(F2)",B27,IF($B$66="二級(M1)",D27,F27))</f>
        <v>890</v>
      </c>
      <c r="F69" s="70">
        <f t="shared" ref="F69:F74" si="24">IF(D69&lt;&gt;0,1,0)</f>
        <v>0</v>
      </c>
      <c r="K69" s="300" t="str">
        <f>IF($B$66="一級(F2)",IF(L57=K57,L57,L57&amp;"～"&amp;K57),IF($B$66="二級(M1)",IF(N57=M57,N57,N57&amp;"～"&amp;M57),IF(P57=O57,P57,P57&amp;"～"&amp;O57)))</f>
        <v/>
      </c>
      <c r="L69" s="300"/>
      <c r="M69" s="91">
        <f>IF($B$66="一級(F2)",K17,IF($B$66="二級(M1)",M17,O17))</f>
        <v>0</v>
      </c>
      <c r="N69" s="91">
        <f>IF($B$66="一級(F2)",K27,IF($B$66="二級(M1)",M27,O27))</f>
        <v>480</v>
      </c>
      <c r="O69" s="70">
        <f>IF(M69&lt;&gt;0,1,0)</f>
        <v>0</v>
      </c>
      <c r="R69" s="300" t="str">
        <f>IF($B$66="一級(F2)",IF(S57=R57,S57,S57&amp;"～"&amp;R57),IF($B$66="二級(M1)",IF(U57=T57,U57,U57&amp;"～"&amp;T57),IF(W57=V57,W57,W57&amp;"～"&amp;V57)))</f>
        <v/>
      </c>
      <c r="S69" s="300"/>
      <c r="T69" s="91">
        <f>IF($B$66="一級(F2)",R17,IF($B$66="二級(M1)",T17,V17))</f>
        <v>0</v>
      </c>
      <c r="U69" s="91">
        <f>IF($B$66="一級(F2)",R27,IF($B$66="二級(M1)",T27,V27))</f>
        <v>290</v>
      </c>
      <c r="V69" s="70">
        <f>IF(T69&lt;&gt;0,1,0)</f>
        <v>0</v>
      </c>
      <c r="Z69" s="73">
        <v>67</v>
      </c>
      <c r="AA69" s="74" t="str">
        <f>IF(AH69="×","",分銅情報入力シート!AA17)</f>
        <v/>
      </c>
      <c r="AB69" s="74" t="str">
        <f>IF(AH69="×","",分銅情報入力シート!AB17)</f>
        <v/>
      </c>
      <c r="AC69" s="74" t="str">
        <f>IF(AH69="×","",分銅情報入力シート!AC17)</f>
        <v/>
      </c>
      <c r="AD69" s="99" t="str">
        <f>IF(AH69="×","",IF(OR(分銅情報入力シート!AD17="",分銅情報入力シート!AD17="　"),"",分銅情報入力シート!AD17))</f>
        <v/>
      </c>
      <c r="AE69" s="101" t="str">
        <f>IF(AH69="×","",分銅情報入力シート!AE17)</f>
        <v/>
      </c>
      <c r="AG69" t="str">
        <f t="shared" si="21"/>
        <v/>
      </c>
      <c r="AH69" s="70" t="str">
        <f>IF(AND(分銅情報入力シート!AA17&lt;&gt;"",分銅情報入力シート!AA17&lt;&gt;"",分銅情報入力シート!AA17&lt;&gt;"",分銅情報入力シート!AA17&lt;&gt;""),"〇","×")</f>
        <v>×</v>
      </c>
    </row>
    <row r="70" spans="1:34">
      <c r="A70" s="70">
        <v>2</v>
      </c>
      <c r="B70" s="300" t="str">
        <f>IF($B$66="一級(F2)",IF(C58=B58,C58,C58&amp;"～"&amp;B58),IF($B$66="二級(M1)",IF(E58=D58,E58,E58&amp;"～"&amp;D58),IF(G58=F58,G58,G58&amp;"～"&amp;F58)))</f>
        <v/>
      </c>
      <c r="C70" s="300"/>
      <c r="D70" s="91">
        <f t="shared" si="22"/>
        <v>0</v>
      </c>
      <c r="E70" s="91">
        <f t="shared" si="23"/>
        <v>1200</v>
      </c>
      <c r="F70" s="70">
        <f t="shared" si="24"/>
        <v>0</v>
      </c>
      <c r="K70" s="300" t="str">
        <f>IF($B$66="一級(F2)",IF(L58=K58,L58,L58&amp;"～"&amp;K58),IF($B$66="二級(M1)",IF(N58=M58,N58,N58&amp;"～"&amp;M58),IF(P58=O58,P58,P58&amp;"～"&amp;O58)))</f>
        <v/>
      </c>
      <c r="L70" s="300"/>
      <c r="M70" s="91">
        <f>IF($B$66="一級(F2)",K18,IF($B$66="二級(M1)",M18,O18))</f>
        <v>0</v>
      </c>
      <c r="N70" s="91">
        <f>IF($B$66="一級(F2)",K28,IF($B$66="二級(M1)",M28,O28))</f>
        <v>650</v>
      </c>
      <c r="O70" s="70">
        <f>IF(M70&lt;&gt;0,1,0)</f>
        <v>0</v>
      </c>
      <c r="R70" s="300" t="str">
        <f>IF($B$66="一級(F2)",IF(S58=R58,S58,S58&amp;"～"&amp;R58),IF($B$66="二級(M1)",IF(U58=T58,U58,U58&amp;"～"&amp;T58),IF(W58=V58,W58,W58&amp;"～"&amp;V58)))</f>
        <v/>
      </c>
      <c r="S70" s="300"/>
      <c r="T70" s="91">
        <f>IF($B$66="一級(F2)",R18,IF($B$66="二級(M1)",T18,V18))</f>
        <v>0</v>
      </c>
      <c r="U70" s="91">
        <f>IF($B$66="一級(F2)",R28,IF($B$66="二級(M1)",T28,V28))</f>
        <v>1750</v>
      </c>
      <c r="V70" s="70">
        <f>IF(T70&lt;&gt;0,1,0)</f>
        <v>0</v>
      </c>
      <c r="Z70" s="73">
        <v>68</v>
      </c>
      <c r="AA70" s="74" t="str">
        <f>IF(AH70="×","",分銅情報入力シート!AA18)</f>
        <v/>
      </c>
      <c r="AB70" s="74" t="str">
        <f>IF(AH70="×","",分銅情報入力シート!AB18)</f>
        <v/>
      </c>
      <c r="AC70" s="74" t="str">
        <f>IF(AH70="×","",分銅情報入力シート!AC18)</f>
        <v/>
      </c>
      <c r="AD70" s="99" t="str">
        <f>IF(AH70="×","",IF(OR(分銅情報入力シート!AD18="",分銅情報入力シート!AD18="　"),"",分銅情報入力シート!AD18))</f>
        <v/>
      </c>
      <c r="AE70" s="101" t="str">
        <f>IF(AH70="×","",分銅情報入力シート!AE18)</f>
        <v/>
      </c>
      <c r="AG70" t="str">
        <f t="shared" si="21"/>
        <v/>
      </c>
      <c r="AH70" s="70" t="str">
        <f>IF(AND(分銅情報入力シート!AA18&lt;&gt;"",分銅情報入力シート!AA18&lt;&gt;"",分銅情報入力シート!AA18&lt;&gt;"",分銅情報入力シート!AA18&lt;&gt;""),"〇","×")</f>
        <v>×</v>
      </c>
    </row>
    <row r="71" spans="1:34">
      <c r="A71" s="70">
        <v>3</v>
      </c>
      <c r="B71" s="300" t="str">
        <f>IF($B$66="一級(F2)",IF(C59=B59,C59,C59&amp;"～"&amp;B59),IF($B$66="二級(M1)",IF(E59=D59,E59,E59&amp;"～"&amp;D59),IF(G59=F59,G59,G59&amp;"～"&amp;F59)))</f>
        <v/>
      </c>
      <c r="C71" s="300"/>
      <c r="D71" s="91">
        <f t="shared" si="22"/>
        <v>0</v>
      </c>
      <c r="E71" s="91">
        <f t="shared" si="23"/>
        <v>8000</v>
      </c>
      <c r="F71" s="70">
        <f t="shared" si="24"/>
        <v>0</v>
      </c>
      <c r="K71" s="300" t="str">
        <f>IF($B$66="一級(F2)",IF(L59=K59,L59,L59&amp;"～"&amp;K59),IF($B$66="二級(M1)",IF(N59=M59,N59,N59&amp;"～"&amp;M59),IF(P59=O59,P59,P59&amp;"～"&amp;O59)))</f>
        <v/>
      </c>
      <c r="L71" s="300"/>
      <c r="M71" s="91">
        <f>IF($B$66="一級(F2)",K19,IF($B$66="二級(M1)",M19,O19))</f>
        <v>0</v>
      </c>
      <c r="N71" s="91">
        <f>IF($B$66="一級(F2)",K29,IF($B$66="二級(M1)",M29,O29))</f>
        <v>7100</v>
      </c>
      <c r="O71" s="70">
        <f>IF(M71&lt;&gt;0,1,0)</f>
        <v>0</v>
      </c>
      <c r="R71" s="307"/>
      <c r="S71" s="307"/>
      <c r="T71" s="70">
        <f>COUNTIF(T69:T70,"&lt;&gt;0")</f>
        <v>0</v>
      </c>
      <c r="V71" s="70" t="str">
        <f>V69&amp;V70</f>
        <v>00</v>
      </c>
      <c r="Z71" s="73">
        <v>69</v>
      </c>
      <c r="AA71" s="74" t="str">
        <f>IF(AH71="×","",分銅情報入力シート!AA19)</f>
        <v/>
      </c>
      <c r="AB71" s="74" t="str">
        <f>IF(AH71="×","",分銅情報入力シート!AB19)</f>
        <v/>
      </c>
      <c r="AC71" s="74" t="str">
        <f>IF(AH71="×","",分銅情報入力シート!AC19)</f>
        <v/>
      </c>
      <c r="AD71" s="99" t="str">
        <f>IF(AH71="×","",IF(OR(分銅情報入力シート!AD19="",分銅情報入力シート!AD19="　"),"",分銅情報入力シート!AD19))</f>
        <v/>
      </c>
      <c r="AE71" s="101" t="str">
        <f>IF(AH71="×","",分銅情報入力シート!AE19)</f>
        <v/>
      </c>
      <c r="AG71" t="str">
        <f t="shared" si="21"/>
        <v/>
      </c>
      <c r="AH71" s="70" t="str">
        <f>IF(AND(分銅情報入力シート!AA19&lt;&gt;"",分銅情報入力シート!AA19&lt;&gt;"",分銅情報入力シート!AA19&lt;&gt;"",分銅情報入力シート!AA19&lt;&gt;""),"〇","×")</f>
        <v>×</v>
      </c>
    </row>
    <row r="72" spans="1:34">
      <c r="A72" s="70">
        <v>4</v>
      </c>
      <c r="B72" s="300" t="str">
        <f t="shared" ref="B72:B73" si="25">IF($B$66="一級(F2)",IF(C60=B60,C60,C60&amp;"～"&amp;B60),IF($B$66="二級(M1)",IF(E60=D60,E60,E60&amp;"～"&amp;D60),IF(G60=F60,G60,G60&amp;"～"&amp;F60)))</f>
        <v/>
      </c>
      <c r="C72" s="300"/>
      <c r="D72" s="91">
        <f t="shared" si="22"/>
        <v>0</v>
      </c>
      <c r="E72" s="91">
        <f t="shared" si="23"/>
        <v>8300</v>
      </c>
      <c r="F72" s="70">
        <f t="shared" si="24"/>
        <v>0</v>
      </c>
      <c r="K72" s="307"/>
      <c r="L72" s="307"/>
      <c r="M72" s="70">
        <f>COUNTIF(M69:M71,"&lt;&gt;0")</f>
        <v>0</v>
      </c>
      <c r="O72" s="70" t="str">
        <f>O69&amp;O70&amp;O71</f>
        <v>000</v>
      </c>
      <c r="R72" s="307"/>
      <c r="S72" s="307"/>
      <c r="Z72" s="73">
        <v>70</v>
      </c>
      <c r="AA72" s="74" t="str">
        <f>IF(AH72="×","",分銅情報入力シート!AA20)</f>
        <v/>
      </c>
      <c r="AB72" s="74" t="str">
        <f>IF(AH72="×","",分銅情報入力シート!AB20)</f>
        <v/>
      </c>
      <c r="AC72" s="74" t="str">
        <f>IF(AH72="×","",分銅情報入力シート!AC20)</f>
        <v/>
      </c>
      <c r="AD72" s="99" t="str">
        <f>IF(AH72="×","",IF(OR(分銅情報入力シート!AD20="",分銅情報入力シート!AD20="　"),"",分銅情報入力シート!AD20))</f>
        <v/>
      </c>
      <c r="AE72" s="101" t="str">
        <f>IF(AH72="×","",分銅情報入力シート!AE20)</f>
        <v/>
      </c>
      <c r="AG72" t="str">
        <f t="shared" si="21"/>
        <v/>
      </c>
      <c r="AH72" s="70" t="str">
        <f>IF(AND(分銅情報入力シート!AA20&lt;&gt;"",分銅情報入力シート!AA20&lt;&gt;"",分銅情報入力シート!AA20&lt;&gt;"",分銅情報入力シート!AA20&lt;&gt;""),"〇","×")</f>
        <v>×</v>
      </c>
    </row>
    <row r="73" spans="1:34">
      <c r="A73" s="70">
        <v>5</v>
      </c>
      <c r="B73" s="300" t="str">
        <f t="shared" si="25"/>
        <v/>
      </c>
      <c r="C73" s="300"/>
      <c r="D73" s="91">
        <f t="shared" si="22"/>
        <v>0</v>
      </c>
      <c r="E73" s="91">
        <f t="shared" si="23"/>
        <v>8800</v>
      </c>
      <c r="F73" s="70">
        <f t="shared" si="24"/>
        <v>0</v>
      </c>
      <c r="K73" s="307"/>
      <c r="L73" s="307"/>
      <c r="R73" s="307"/>
      <c r="S73" s="307"/>
      <c r="Z73" s="73">
        <v>71</v>
      </c>
      <c r="AA73" s="74" t="str">
        <f>IF(AH73="×","",分銅情報入力シート!AA21)</f>
        <v/>
      </c>
      <c r="AB73" s="74" t="str">
        <f>IF(AH73="×","",分銅情報入力シート!AB21)</f>
        <v/>
      </c>
      <c r="AC73" s="74" t="str">
        <f>IF(AH73="×","",分銅情報入力シート!AC21)</f>
        <v/>
      </c>
      <c r="AD73" s="99" t="str">
        <f>IF(AH73="×","",IF(OR(分銅情報入力シート!AD21="",分銅情報入力シート!AD21="　"),"",分銅情報入力シート!AD21))</f>
        <v/>
      </c>
      <c r="AE73" s="101" t="str">
        <f>IF(AH73="×","",分銅情報入力シート!AE21)</f>
        <v/>
      </c>
      <c r="AG73" t="str">
        <f t="shared" si="21"/>
        <v/>
      </c>
      <c r="AH73" s="70" t="str">
        <f>IF(AND(分銅情報入力シート!AA21&lt;&gt;"",分銅情報入力シート!AA21&lt;&gt;"",分銅情報入力シート!AA21&lt;&gt;"",分銅情報入力シート!AA21&lt;&gt;""),"〇","×")</f>
        <v>×</v>
      </c>
    </row>
    <row r="74" spans="1:34">
      <c r="A74" s="70">
        <v>6</v>
      </c>
      <c r="B74" s="300" t="str">
        <f>IF($B$66="一級(F2)",IF(C62=B62,C62,C62&amp;"～"&amp;B62),IF($B$66="二級(M1)",IF(E62=D62,E62,E62&amp;"～"&amp;D62),IF(G62=F62,G62,G62&amp;"～"&amp;F62)))</f>
        <v/>
      </c>
      <c r="C74" s="300"/>
      <c r="D74" s="91">
        <f t="shared" si="22"/>
        <v>0</v>
      </c>
      <c r="E74" s="91">
        <f t="shared" si="23"/>
        <v>9300</v>
      </c>
      <c r="F74" s="70">
        <f t="shared" si="24"/>
        <v>0</v>
      </c>
      <c r="K74" s="307"/>
      <c r="L74" s="307"/>
      <c r="R74" s="307"/>
      <c r="S74" s="307"/>
      <c r="Z74" s="73">
        <v>72</v>
      </c>
      <c r="AA74" s="74" t="str">
        <f>IF(AH74="×","",分銅情報入力シート!AA22)</f>
        <v/>
      </c>
      <c r="AB74" s="74" t="str">
        <f>IF(AH74="×","",分銅情報入力シート!AB22)</f>
        <v/>
      </c>
      <c r="AC74" s="74" t="str">
        <f>IF(AH74="×","",分銅情報入力シート!AC22)</f>
        <v/>
      </c>
      <c r="AD74" s="99" t="str">
        <f>IF(AH74="×","",IF(OR(分銅情報入力シート!AD22="",分銅情報入力シート!AD22="　"),"",分銅情報入力シート!AD22))</f>
        <v/>
      </c>
      <c r="AE74" s="101" t="str">
        <f>IF(AH74="×","",分銅情報入力シート!AE22)</f>
        <v/>
      </c>
      <c r="AG74" t="str">
        <f t="shared" si="21"/>
        <v/>
      </c>
      <c r="AH74" s="70" t="str">
        <f>IF(AND(分銅情報入力シート!AA22&lt;&gt;"",分銅情報入力シート!AA22&lt;&gt;"",分銅情報入力シート!AA22&lt;&gt;"",分銅情報入力シート!AA22&lt;&gt;""),"〇","×")</f>
        <v>×</v>
      </c>
    </row>
    <row r="75" spans="1:34">
      <c r="D75" s="70">
        <f>COUNTIF(D69:D74,"&lt;&gt;0")</f>
        <v>0</v>
      </c>
      <c r="F75" s="70" t="str">
        <f>F69&amp;F70&amp;F71&amp;F72&amp;F73&amp;F74</f>
        <v>000000</v>
      </c>
      <c r="Z75" s="73">
        <v>73</v>
      </c>
      <c r="AA75" s="74" t="str">
        <f>IF(AH75="×","",分銅情報入力シート!AA23)</f>
        <v/>
      </c>
      <c r="AB75" s="74" t="str">
        <f>IF(AH75="×","",分銅情報入力シート!AB23)</f>
        <v/>
      </c>
      <c r="AC75" s="74" t="str">
        <f>IF(AH75="×","",分銅情報入力シート!AC23)</f>
        <v/>
      </c>
      <c r="AD75" s="99" t="str">
        <f>IF(AH75="×","",IF(OR(分銅情報入力シート!AD23="",分銅情報入力シート!AD23="　"),"",分銅情報入力シート!AD23))</f>
        <v/>
      </c>
      <c r="AE75" s="101" t="str">
        <f>IF(AH75="×","",分銅情報入力シート!AE23)</f>
        <v/>
      </c>
      <c r="AG75" t="str">
        <f t="shared" si="21"/>
        <v/>
      </c>
      <c r="AH75" s="70" t="str">
        <f>IF(AND(分銅情報入力シート!AA23&lt;&gt;"",分銅情報入力シート!AA23&lt;&gt;"",分銅情報入力シート!AA23&lt;&gt;"",分銅情報入力シート!AA23&lt;&gt;""),"〇","×")</f>
        <v>×</v>
      </c>
    </row>
    <row r="76" spans="1:34">
      <c r="Z76" s="73">
        <v>74</v>
      </c>
      <c r="AA76" s="74" t="str">
        <f>IF(AH76="×","",分銅情報入力シート!AA24)</f>
        <v/>
      </c>
      <c r="AB76" s="74" t="str">
        <f>IF(AH76="×","",分銅情報入力シート!AB24)</f>
        <v/>
      </c>
      <c r="AC76" s="74" t="str">
        <f>IF(AH76="×","",分銅情報入力シート!AC24)</f>
        <v/>
      </c>
      <c r="AD76" s="99" t="str">
        <f>IF(AH76="×","",IF(OR(分銅情報入力シート!AD24="",分銅情報入力シート!AD24="　"),"",分銅情報入力シート!AD24))</f>
        <v/>
      </c>
      <c r="AE76" s="101" t="str">
        <f>IF(AH76="×","",分銅情報入力シート!AE24)</f>
        <v/>
      </c>
      <c r="AG76" t="str">
        <f t="shared" si="21"/>
        <v/>
      </c>
      <c r="AH76" s="70" t="str">
        <f>IF(AND(分銅情報入力シート!AA24&lt;&gt;"",分銅情報入力シート!AA24&lt;&gt;"",分銅情報入力シート!AA24&lt;&gt;"",分銅情報入力シート!AA24&lt;&gt;""),"〇","×")</f>
        <v>×</v>
      </c>
    </row>
    <row r="77" spans="1:34">
      <c r="Z77" s="73">
        <v>75</v>
      </c>
      <c r="AA77" s="74" t="str">
        <f>IF(AH77="×","",分銅情報入力シート!AA25)</f>
        <v/>
      </c>
      <c r="AB77" s="74" t="str">
        <f>IF(AH77="×","",分銅情報入力シート!AB25)</f>
        <v/>
      </c>
      <c r="AC77" s="74" t="str">
        <f>IF(AH77="×","",分銅情報入力シート!AC25)</f>
        <v/>
      </c>
      <c r="AD77" s="99" t="str">
        <f>IF(AH77="×","",IF(OR(分銅情報入力シート!AD25="",分銅情報入力シート!AD25="　"),"",分銅情報入力シート!AD25))</f>
        <v/>
      </c>
      <c r="AE77" s="101" t="str">
        <f>IF(AH77="×","",分銅情報入力シート!AE25)</f>
        <v/>
      </c>
      <c r="AG77" t="str">
        <f t="shared" si="21"/>
        <v/>
      </c>
      <c r="AH77" s="70" t="str">
        <f>IF(AND(分銅情報入力シート!AA25&lt;&gt;"",分銅情報入力シート!AA25&lt;&gt;"",分銅情報入力シート!AA25&lt;&gt;"",分銅情報入力シート!AA25&lt;&gt;""),"〇","×")</f>
        <v>×</v>
      </c>
    </row>
    <row r="78" spans="1:34">
      <c r="A78" s="70" t="s">
        <v>129</v>
      </c>
      <c r="B78" s="304" t="s">
        <v>124</v>
      </c>
      <c r="C78" s="304"/>
      <c r="D78" s="304"/>
      <c r="E78" s="304"/>
      <c r="K78" s="304" t="s">
        <v>125</v>
      </c>
      <c r="L78" s="304"/>
      <c r="M78" s="304"/>
      <c r="N78" s="304"/>
      <c r="R78" s="304" t="s">
        <v>126</v>
      </c>
      <c r="S78" s="304"/>
      <c r="T78" s="304"/>
      <c r="U78" s="304"/>
      <c r="Z78" s="73">
        <v>76</v>
      </c>
      <c r="AA78" s="74" t="str">
        <f>IF(AH78="×","",分銅情報入力シート!AG11)</f>
        <v/>
      </c>
      <c r="AB78" s="74" t="str">
        <f>IF(AH78="×","",分銅情報入力シート!AH11)</f>
        <v/>
      </c>
      <c r="AC78" s="74" t="str">
        <f>IF(AH78="×","",分銅情報入力シート!AI11)</f>
        <v/>
      </c>
      <c r="AD78" s="99" t="str">
        <f>IF(AH78="×","",IF(OR(分銅情報入力シート!AJ11="",分銅情報入力シート!AJ11="　"),"",分銅情報入力シート!AJ11))</f>
        <v/>
      </c>
      <c r="AE78" s="101" t="str">
        <f>IF(AH78="×","",分銅情報入力シート!AK11)</f>
        <v/>
      </c>
      <c r="AG78" t="str">
        <f t="shared" si="21"/>
        <v/>
      </c>
      <c r="AH78" s="70" t="str">
        <f>IF(AND(分銅情報入力シート!AG11&lt;&gt;"",分銅情報入力シート!AG11&lt;&gt;"",分銅情報入力シート!AG11&lt;&gt;"",分銅情報入力シート!AG11&lt;&gt;""),"〇","×")</f>
        <v>×</v>
      </c>
    </row>
    <row r="79" spans="1:34">
      <c r="B79" s="304" t="s">
        <v>122</v>
      </c>
      <c r="C79" s="304"/>
      <c r="D79" s="92" t="s">
        <v>115</v>
      </c>
      <c r="E79" s="92" t="s">
        <v>116</v>
      </c>
      <c r="F79" s="70" t="s">
        <v>117</v>
      </c>
      <c r="K79" s="304" t="s">
        <v>122</v>
      </c>
      <c r="L79" s="304"/>
      <c r="M79" s="92" t="s">
        <v>115</v>
      </c>
      <c r="N79" s="92" t="s">
        <v>116</v>
      </c>
      <c r="O79" s="70" t="s">
        <v>117</v>
      </c>
      <c r="R79" s="304" t="s">
        <v>122</v>
      </c>
      <c r="S79" s="304"/>
      <c r="T79" s="92" t="s">
        <v>115</v>
      </c>
      <c r="U79" s="92" t="s">
        <v>116</v>
      </c>
      <c r="V79" s="70" t="s">
        <v>117</v>
      </c>
      <c r="Z79" s="73">
        <v>77</v>
      </c>
      <c r="AA79" s="74" t="str">
        <f>IF(AH79="×","",分銅情報入力シート!AG12)</f>
        <v/>
      </c>
      <c r="AB79" s="74" t="str">
        <f>IF(AH79="×","",分銅情報入力シート!AH12)</f>
        <v/>
      </c>
      <c r="AC79" s="74" t="str">
        <f>IF(AH79="×","",分銅情報入力シート!AI12)</f>
        <v/>
      </c>
      <c r="AD79" s="99" t="str">
        <f>IF(AH79="×","",IF(OR(分銅情報入力シート!AJ12="",分銅情報入力シート!AJ12="　"),"",分銅情報入力シート!AJ12))</f>
        <v/>
      </c>
      <c r="AE79" s="101" t="str">
        <f>IF(AH79="×","",分銅情報入力シート!AK12)</f>
        <v/>
      </c>
      <c r="AG79" t="str">
        <f t="shared" si="21"/>
        <v/>
      </c>
      <c r="AH79" s="70" t="str">
        <f>IF(AND(分銅情報入力シート!AG12&lt;&gt;"",分銅情報入力シート!AG12&lt;&gt;"",分銅情報入力シート!AG12&lt;&gt;"",分銅情報入力シート!AG12&lt;&gt;""),"〇","×")</f>
        <v>×</v>
      </c>
    </row>
    <row r="80" spans="1:34">
      <c r="A80" s="70" t="s">
        <v>109</v>
      </c>
      <c r="B80" s="300" t="str">
        <f>IF(F80&lt;&gt;"",VLOOKUP(F80,$A$69:$U$74,2,FALSE),"")</f>
        <v/>
      </c>
      <c r="C80" s="300"/>
      <c r="D80" s="91" t="str">
        <f>IF(F80&lt;&gt;"",VLOOKUP(F80,$A$69:$U$74,4,FALSE),"")</f>
        <v/>
      </c>
      <c r="E80" s="91" t="str">
        <f>IF(F80&lt;&gt;"",VLOOKUP(F80,$A$69:$U$74,5,FALSE),"")</f>
        <v/>
      </c>
      <c r="F80" s="70" t="str">
        <f>IF(D75&gt;0,FIND("1",F75),"")</f>
        <v/>
      </c>
      <c r="K80" s="300" t="str">
        <f>IF(O80&lt;&gt;"",VLOOKUP(O80,$A$69:$U$74,11,FALSE),"")</f>
        <v/>
      </c>
      <c r="L80" s="300"/>
      <c r="M80" s="91" t="str">
        <f>IF(O80&lt;&gt;"",VLOOKUP(O80,$A$69:$U$74,13,FALSE),"")</f>
        <v/>
      </c>
      <c r="N80" s="91" t="str">
        <f>IF(O80&lt;&gt;"",VLOOKUP(O80,$A$69:$U$74,14,FALSE),"")</f>
        <v/>
      </c>
      <c r="O80" s="70" t="str">
        <f>IF(M72&gt;0,FIND("1",O72),"")</f>
        <v/>
      </c>
      <c r="R80" s="300" t="str">
        <f>IF(V80&lt;&gt;"",VLOOKUP(V80,$A$69:$U$74,18,FALSE),"")</f>
        <v/>
      </c>
      <c r="S80" s="300"/>
      <c r="T80" s="91" t="str">
        <f>IF(V80&lt;&gt;"",VLOOKUP(V80,$A$69:$U$74,20,FALSE),"")</f>
        <v/>
      </c>
      <c r="U80" s="91" t="str">
        <f>IF(V80&lt;&gt;"",VLOOKUP(V80,$A$69:$U$74,21,FALSE),"")</f>
        <v/>
      </c>
      <c r="V80" s="70" t="str">
        <f>IF(T71&gt;0,FIND("1",V71),"")</f>
        <v/>
      </c>
      <c r="Z80" s="73">
        <v>78</v>
      </c>
      <c r="AA80" s="74" t="str">
        <f>IF(AH80="×","",分銅情報入力シート!AG13)</f>
        <v/>
      </c>
      <c r="AB80" s="74" t="str">
        <f>IF(AH80="×","",分銅情報入力シート!AH13)</f>
        <v/>
      </c>
      <c r="AC80" s="74" t="str">
        <f>IF(AH80="×","",分銅情報入力シート!AI13)</f>
        <v/>
      </c>
      <c r="AD80" s="99" t="str">
        <f>IF(AH80="×","",IF(OR(分銅情報入力シート!AJ13="",分銅情報入力シート!AJ13="　"),"",分銅情報入力シート!AJ13))</f>
        <v/>
      </c>
      <c r="AE80" s="101" t="str">
        <f>IF(AH80="×","",分銅情報入力シート!AK13)</f>
        <v/>
      </c>
      <c r="AG80" t="str">
        <f t="shared" si="21"/>
        <v/>
      </c>
      <c r="AH80" s="70" t="str">
        <f>IF(AND(分銅情報入力シート!AG13&lt;&gt;"",分銅情報入力シート!AG13&lt;&gt;"",分銅情報入力シート!AG13&lt;&gt;"",分銅情報入力シート!AG13&lt;&gt;""),"〇","×")</f>
        <v>×</v>
      </c>
    </row>
    <row r="81" spans="1:34">
      <c r="A81" s="70" t="s">
        <v>110</v>
      </c>
      <c r="B81" s="300" t="str">
        <f t="shared" ref="B81:B85" si="26">IF(F81&lt;&gt;"",VLOOKUP(F81,$A$69:$U$74,2,FALSE),"")</f>
        <v/>
      </c>
      <c r="C81" s="300"/>
      <c r="D81" s="91" t="str">
        <f t="shared" ref="D81:D85" si="27">IF(F81&lt;&gt;"",VLOOKUP(F81,$A$69:$U$74,4,FALSE),"")</f>
        <v/>
      </c>
      <c r="E81" s="91" t="str">
        <f t="shared" ref="E81:E85" si="28">IF(F81&lt;&gt;"",VLOOKUP(F81,$A$69:$U$74,5,FALSE),"")</f>
        <v/>
      </c>
      <c r="F81" s="70" t="str">
        <f>IF(D75&gt;1,FIND("1",F75,FIND("1",F75)+F80),"")</f>
        <v/>
      </c>
      <c r="K81" s="300" t="str">
        <f>IF(O81&lt;&gt;"",VLOOKUP(O81,$A$69:$U$74,11,FALSE),"")</f>
        <v/>
      </c>
      <c r="L81" s="300"/>
      <c r="M81" s="91" t="str">
        <f>IF(O81&lt;&gt;"",VLOOKUP(O81,$A$69:$U$74,13,FALSE),"")</f>
        <v/>
      </c>
      <c r="N81" s="91" t="str">
        <f>IF(O81&lt;&gt;"",VLOOKUP(O81,$A$69:$U$74,14,FALSE),"")</f>
        <v/>
      </c>
      <c r="O81" s="70" t="str">
        <f>IF(M72&gt;1,FIND("1",O72,FIND("1",O72)+O80),"")</f>
        <v/>
      </c>
      <c r="R81" s="300" t="str">
        <f>IF(V81&lt;&gt;"",VLOOKUP(V81,$A$69:$U$74,18,FALSE),"")</f>
        <v/>
      </c>
      <c r="S81" s="300"/>
      <c r="T81" s="91" t="str">
        <f>IF(V81&lt;&gt;"",VLOOKUP(V81,$A$69:$U$74,20,FALSE),"")</f>
        <v/>
      </c>
      <c r="U81" s="91" t="str">
        <f>IF(V81&lt;&gt;"",VLOOKUP(V81,$A$69:$U$74,21,FALSE),"")</f>
        <v/>
      </c>
      <c r="V81" s="70" t="str">
        <f>IF(T71&gt;1,FIND("1",V71,FIND("1",V71)+V80),"")</f>
        <v/>
      </c>
      <c r="Z81" s="73">
        <v>79</v>
      </c>
      <c r="AA81" s="74" t="str">
        <f>IF(AH81="×","",分銅情報入力シート!AG14)</f>
        <v/>
      </c>
      <c r="AB81" s="74" t="str">
        <f>IF(AH81="×","",分銅情報入力シート!AH14)</f>
        <v/>
      </c>
      <c r="AC81" s="74" t="str">
        <f>IF(AH81="×","",分銅情報入力シート!AI14)</f>
        <v/>
      </c>
      <c r="AD81" s="99" t="str">
        <f>IF(AH81="×","",IF(OR(分銅情報入力シート!AJ14="",分銅情報入力シート!AJ14="　"),"",分銅情報入力シート!AJ14))</f>
        <v/>
      </c>
      <c r="AE81" s="101" t="str">
        <f>IF(AH81="×","",分銅情報入力シート!AK14)</f>
        <v/>
      </c>
      <c r="AG81" t="str">
        <f t="shared" si="21"/>
        <v/>
      </c>
      <c r="AH81" s="70" t="str">
        <f>IF(AND(分銅情報入力シート!AG14&lt;&gt;"",分銅情報入力シート!AG14&lt;&gt;"",分銅情報入力シート!AG14&lt;&gt;"",分銅情報入力シート!AG14&lt;&gt;""),"〇","×")</f>
        <v>×</v>
      </c>
    </row>
    <row r="82" spans="1:34">
      <c r="A82" s="70" t="s">
        <v>111</v>
      </c>
      <c r="B82" s="300" t="str">
        <f t="shared" si="26"/>
        <v/>
      </c>
      <c r="C82" s="300"/>
      <c r="D82" s="91" t="str">
        <f t="shared" si="27"/>
        <v/>
      </c>
      <c r="E82" s="91" t="str">
        <f t="shared" si="28"/>
        <v/>
      </c>
      <c r="F82" s="70" t="str">
        <f>IF(D75&gt;2,FIND("1",F75,FIND("1",F75)+F81),"")</f>
        <v/>
      </c>
      <c r="K82" s="300" t="str">
        <f>IF(O82&lt;&gt;"",VLOOKUP(O82,$A$69:$U$74,11,FALSE),"")</f>
        <v/>
      </c>
      <c r="L82" s="300"/>
      <c r="M82" s="91" t="str">
        <f>IF(O82&lt;&gt;"",VLOOKUP(O82,$A$69:$U$74,13,FALSE),"")</f>
        <v/>
      </c>
      <c r="N82" s="91" t="str">
        <f>IF(O82&lt;&gt;"",VLOOKUP(O82,$A$69:$U$74,14,FALSE),"")</f>
        <v/>
      </c>
      <c r="O82" s="70" t="str">
        <f>IF(M72&gt;2,FIND("1",O72,FIND("1",O72)+O81),"")</f>
        <v/>
      </c>
      <c r="V82" s="70" t="str">
        <f>IF(T75&gt;2,FIND("1",V75,FIND("1",V75)+2),"")</f>
        <v/>
      </c>
      <c r="Z82" s="73">
        <v>80</v>
      </c>
      <c r="AA82" s="74" t="str">
        <f>IF(AH82="×","",分銅情報入力シート!AG15)</f>
        <v/>
      </c>
      <c r="AB82" s="74" t="str">
        <f>IF(AH82="×","",分銅情報入力シート!AH15)</f>
        <v/>
      </c>
      <c r="AC82" s="74" t="str">
        <f>IF(AH82="×","",分銅情報入力シート!AI15)</f>
        <v/>
      </c>
      <c r="AD82" s="99" t="str">
        <f>IF(AH82="×","",IF(OR(分銅情報入力シート!AJ15="",分銅情報入力シート!AJ15="　"),"",分銅情報入力シート!AJ15))</f>
        <v/>
      </c>
      <c r="AE82" s="101" t="str">
        <f>IF(AH82="×","",分銅情報入力シート!AK15)</f>
        <v/>
      </c>
      <c r="AG82" t="str">
        <f t="shared" si="21"/>
        <v/>
      </c>
      <c r="AH82" s="70" t="str">
        <f>IF(AND(分銅情報入力シート!AG15&lt;&gt;"",分銅情報入力シート!AG15&lt;&gt;"",分銅情報入力シート!AG15&lt;&gt;"",分銅情報入力シート!AG15&lt;&gt;""),"〇","×")</f>
        <v>×</v>
      </c>
    </row>
    <row r="83" spans="1:34">
      <c r="A83" s="70" t="s">
        <v>112</v>
      </c>
      <c r="B83" s="300" t="str">
        <f t="shared" si="26"/>
        <v/>
      </c>
      <c r="C83" s="300"/>
      <c r="D83" s="91" t="str">
        <f t="shared" si="27"/>
        <v/>
      </c>
      <c r="E83" s="91" t="str">
        <f t="shared" si="28"/>
        <v/>
      </c>
      <c r="F83" s="70" t="str">
        <f>IF(D75&gt;3,FIND("1",F75,FIND("1",F75)+F82),"")</f>
        <v/>
      </c>
      <c r="O83" s="70" t="str">
        <f>IF(M75&gt;3,FIND("1",O75,FIND("1",O75)+3),"")</f>
        <v/>
      </c>
      <c r="T83" s="70" t="s">
        <v>127</v>
      </c>
      <c r="V83" s="70" t="str">
        <f>IF(T75&gt;3,FIND("1",V75,FIND("1",V75)+3),"")</f>
        <v/>
      </c>
      <c r="Z83" s="73">
        <v>81</v>
      </c>
      <c r="AA83" s="74" t="str">
        <f>IF(AH83="×","",分銅情報入力シート!AG16)</f>
        <v/>
      </c>
      <c r="AB83" s="74" t="str">
        <f>IF(AH83="×","",分銅情報入力シート!AH16)</f>
        <v/>
      </c>
      <c r="AC83" s="74" t="str">
        <f>IF(AH83="×","",分銅情報入力シート!AI16)</f>
        <v/>
      </c>
      <c r="AD83" s="99" t="str">
        <f>IF(AH83="×","",IF(OR(分銅情報入力シート!AJ16="",分銅情報入力シート!AJ16="　"),"",分銅情報入力シート!AJ16))</f>
        <v/>
      </c>
      <c r="AE83" s="101" t="str">
        <f>IF(AH83="×","",分銅情報入力シート!AK16)</f>
        <v/>
      </c>
      <c r="AG83" t="str">
        <f t="shared" si="21"/>
        <v/>
      </c>
      <c r="AH83" s="70" t="str">
        <f>IF(AND(分銅情報入力シート!AG16&lt;&gt;"",分銅情報入力シート!AG16&lt;&gt;"",分銅情報入力シート!AG16&lt;&gt;"",分銅情報入力シート!AG16&lt;&gt;""),"〇","×")</f>
        <v>×</v>
      </c>
    </row>
    <row r="84" spans="1:34">
      <c r="A84" s="70" t="s">
        <v>113</v>
      </c>
      <c r="B84" s="300" t="str">
        <f>IF(F84&lt;&gt;"",VLOOKUP(F84,$A$69:$U$74,2,FALSE),"")</f>
        <v/>
      </c>
      <c r="C84" s="300"/>
      <c r="D84" s="91" t="str">
        <f t="shared" si="27"/>
        <v/>
      </c>
      <c r="E84" s="91" t="str">
        <f t="shared" si="28"/>
        <v/>
      </c>
      <c r="F84" s="70" t="str">
        <f>IF(D75&gt;4,FIND("1",F75,FIND("1",F75)+F83),"")</f>
        <v/>
      </c>
      <c r="M84" s="70" t="s">
        <v>127</v>
      </c>
      <c r="O84" s="70" t="str">
        <f>IF(M75&gt;4,FIND("1",O75,FIND("1",O75)+4),"")</f>
        <v/>
      </c>
      <c r="T84" s="70" t="s">
        <v>127</v>
      </c>
      <c r="V84" s="70" t="str">
        <f>IF(T75&gt;4,FIND("1",V75,FIND("1",V75)+4),"")</f>
        <v/>
      </c>
      <c r="Z84" s="73">
        <v>82</v>
      </c>
      <c r="AA84" s="74" t="str">
        <f>IF(AH84="×","",分銅情報入力シート!AG17)</f>
        <v/>
      </c>
      <c r="AB84" s="74" t="str">
        <f>IF(AH84="×","",分銅情報入力シート!AH17)</f>
        <v/>
      </c>
      <c r="AC84" s="74" t="str">
        <f>IF(AH84="×","",分銅情報入力シート!AI17)</f>
        <v/>
      </c>
      <c r="AD84" s="99" t="str">
        <f>IF(AH84="×","",IF(OR(分銅情報入力シート!AJ17="",分銅情報入力シート!AJ17="　"),"",分銅情報入力シート!AJ17))</f>
        <v/>
      </c>
      <c r="AE84" s="101" t="str">
        <f>IF(AH84="×","",分銅情報入力シート!AK17)</f>
        <v/>
      </c>
      <c r="AG84" t="str">
        <f t="shared" si="21"/>
        <v/>
      </c>
      <c r="AH84" s="70" t="str">
        <f>IF(AND(分銅情報入力シート!AG17&lt;&gt;"",分銅情報入力シート!AG17&lt;&gt;"",分銅情報入力シート!AG17&lt;&gt;"",分銅情報入力シート!AG17&lt;&gt;""),"〇","×")</f>
        <v>×</v>
      </c>
    </row>
    <row r="85" spans="1:34">
      <c r="A85" s="70" t="s">
        <v>114</v>
      </c>
      <c r="B85" s="300" t="str">
        <f t="shared" si="26"/>
        <v/>
      </c>
      <c r="C85" s="300"/>
      <c r="D85" s="91" t="str">
        <f t="shared" si="27"/>
        <v/>
      </c>
      <c r="E85" s="91" t="str">
        <f t="shared" si="28"/>
        <v/>
      </c>
      <c r="F85" s="70" t="str">
        <f>IF(D75&gt;5,FIND("1",F75,FIND("1",F75)+F84),"")</f>
        <v/>
      </c>
      <c r="M85" s="70" t="s">
        <v>127</v>
      </c>
      <c r="N85" s="70" t="s">
        <v>128</v>
      </c>
      <c r="O85" s="70" t="s">
        <v>128</v>
      </c>
      <c r="P85" s="70" t="s">
        <v>128</v>
      </c>
      <c r="Q85" s="70" t="s">
        <v>128</v>
      </c>
      <c r="R85" s="70" t="s">
        <v>128</v>
      </c>
      <c r="S85" s="70" t="s">
        <v>128</v>
      </c>
      <c r="T85" s="70" t="s">
        <v>128</v>
      </c>
      <c r="V85" s="70" t="str">
        <f>IF(T75&gt;5,FIND("1",V75,FIND("1",V75)+5),"")</f>
        <v/>
      </c>
      <c r="Z85" s="73">
        <v>83</v>
      </c>
      <c r="AA85" s="74" t="str">
        <f>IF(AH85="×","",分銅情報入力シート!AG18)</f>
        <v/>
      </c>
      <c r="AB85" s="74" t="str">
        <f>IF(AH85="×","",分銅情報入力シート!AH18)</f>
        <v/>
      </c>
      <c r="AC85" s="74" t="str">
        <f>IF(AH85="×","",分銅情報入力シート!AI18)</f>
        <v/>
      </c>
      <c r="AD85" s="99" t="str">
        <f>IF(AH85="×","",IF(OR(分銅情報入力シート!AJ18="",分銅情報入力シート!AJ18="　"),"",分銅情報入力シート!AJ18))</f>
        <v/>
      </c>
      <c r="AE85" s="101" t="str">
        <f>IF(AH85="×","",分銅情報入力シート!AK18)</f>
        <v/>
      </c>
      <c r="AG85" t="str">
        <f t="shared" si="21"/>
        <v/>
      </c>
      <c r="AH85" s="70" t="str">
        <f>IF(AND(分銅情報入力シート!AG18&lt;&gt;"",分銅情報入力シート!AG18&lt;&gt;"",分銅情報入力シート!AG18&lt;&gt;"",分銅情報入力シート!AG18&lt;&gt;""),"〇","×")</f>
        <v>×</v>
      </c>
    </row>
    <row r="86" spans="1:34">
      <c r="M86" s="70" t="s">
        <v>127</v>
      </c>
      <c r="Z86" s="73">
        <v>84</v>
      </c>
      <c r="AA86" s="74" t="str">
        <f>IF(AH86="×","",分銅情報入力シート!AG19)</f>
        <v/>
      </c>
      <c r="AB86" s="74" t="str">
        <f>IF(AH86="×","",分銅情報入力シート!AH19)</f>
        <v/>
      </c>
      <c r="AC86" s="74" t="str">
        <f>IF(AH86="×","",分銅情報入力シート!AI19)</f>
        <v/>
      </c>
      <c r="AD86" s="99" t="str">
        <f>IF(AH86="×","",IF(OR(分銅情報入力シート!AJ19="",分銅情報入力シート!AJ19="　"),"",分銅情報入力シート!AJ19))</f>
        <v/>
      </c>
      <c r="AE86" s="101" t="str">
        <f>IF(AH86="×","",分銅情報入力シート!AK19)</f>
        <v/>
      </c>
      <c r="AG86" t="str">
        <f t="shared" si="21"/>
        <v/>
      </c>
      <c r="AH86" s="70" t="str">
        <f>IF(AND(分銅情報入力シート!AG19&lt;&gt;"",分銅情報入力シート!AG19&lt;&gt;"",分銅情報入力シート!AG19&lt;&gt;"",分銅情報入力シート!AG19&lt;&gt;""),"〇","×")</f>
        <v>×</v>
      </c>
    </row>
    <row r="87" spans="1:34">
      <c r="Z87" s="73">
        <v>85</v>
      </c>
      <c r="AA87" s="74" t="str">
        <f>IF(AH87="×","",分銅情報入力シート!AG20)</f>
        <v/>
      </c>
      <c r="AB87" s="74" t="str">
        <f>IF(AH87="×","",分銅情報入力シート!AH20)</f>
        <v/>
      </c>
      <c r="AC87" s="74" t="str">
        <f>IF(AH87="×","",分銅情報入力シート!AI20)</f>
        <v/>
      </c>
      <c r="AD87" s="99" t="str">
        <f>IF(AH87="×","",IF(OR(分銅情報入力シート!AJ20="",分銅情報入力シート!AJ20="　"),"",分銅情報入力シート!AJ20))</f>
        <v/>
      </c>
      <c r="AE87" s="101" t="str">
        <f>IF(AH87="×","",分銅情報入力シート!AK20)</f>
        <v/>
      </c>
      <c r="AG87" t="str">
        <f t="shared" si="21"/>
        <v/>
      </c>
      <c r="AH87" s="70" t="str">
        <f>IF(AND(分銅情報入力シート!AG20&lt;&gt;"",分銅情報入力シート!AG20&lt;&gt;"",分銅情報入力シート!AG20&lt;&gt;"",分銅情報入力シート!AG20&lt;&gt;""),"〇","×")</f>
        <v>×</v>
      </c>
    </row>
    <row r="88" spans="1:34">
      <c r="K88" s="304" t="str">
        <f>IF(分銅情報入力シート!E4="JCSS+基準器検査","JCSS+基準器検査","基準器検査")</f>
        <v>基準器検査</v>
      </c>
      <c r="L88" s="304"/>
      <c r="M88" s="304"/>
      <c r="N88" s="304"/>
      <c r="Z88" s="73">
        <v>86</v>
      </c>
      <c r="AA88" s="74" t="str">
        <f>IF(AH88="×","",分銅情報入力シート!AG21)</f>
        <v/>
      </c>
      <c r="AB88" s="74" t="str">
        <f>IF(AH88="×","",分銅情報入力シート!AH21)</f>
        <v/>
      </c>
      <c r="AC88" s="74" t="str">
        <f>IF(AH88="×","",分銅情報入力シート!AI21)</f>
        <v/>
      </c>
      <c r="AD88" s="99" t="str">
        <f>IF(AH88="×","",IF(OR(分銅情報入力シート!AJ21="",分銅情報入力シート!AJ21="　"),"",分銅情報入力シート!AJ21))</f>
        <v/>
      </c>
      <c r="AE88" s="101" t="str">
        <f>IF(AH88="×","",分銅情報入力シート!AK21)</f>
        <v/>
      </c>
      <c r="AG88" t="str">
        <f t="shared" si="21"/>
        <v/>
      </c>
      <c r="AH88" s="70" t="str">
        <f>IF(AND(分銅情報入力シート!AG21&lt;&gt;"",分銅情報入力シート!AG21&lt;&gt;"",分銅情報入力シート!AG21&lt;&gt;"",分銅情報入力シート!AG21&lt;&gt;""),"〇","×")</f>
        <v>×</v>
      </c>
    </row>
    <row r="89" spans="1:34">
      <c r="K89" s="304" t="s">
        <v>122</v>
      </c>
      <c r="L89" s="304"/>
      <c r="M89" s="92" t="s">
        <v>115</v>
      </c>
      <c r="N89" s="92" t="s">
        <v>116</v>
      </c>
      <c r="Z89" s="73">
        <v>87</v>
      </c>
      <c r="AA89" s="74" t="str">
        <f>IF(AH89="×","",分銅情報入力シート!AG22)</f>
        <v/>
      </c>
      <c r="AB89" s="74" t="str">
        <f>IF(AH89="×","",分銅情報入力シート!AH22)</f>
        <v/>
      </c>
      <c r="AC89" s="74" t="str">
        <f>IF(AH89="×","",分銅情報入力シート!AI22)</f>
        <v/>
      </c>
      <c r="AD89" s="99" t="str">
        <f>IF(AH89="×","",IF(OR(分銅情報入力シート!AJ22="",分銅情報入力シート!AJ22="　"),"",分銅情報入力シート!AJ22))</f>
        <v/>
      </c>
      <c r="AE89" s="101" t="str">
        <f>IF(AH89="×","",分銅情報入力シート!AK22)</f>
        <v/>
      </c>
      <c r="AG89" t="str">
        <f t="shared" si="21"/>
        <v/>
      </c>
      <c r="AH89" s="70" t="str">
        <f>IF(AND(分銅情報入力シート!AG22&lt;&gt;"",分銅情報入力シート!AG22&lt;&gt;"",分銅情報入力シート!AG22&lt;&gt;"",分銅情報入力シート!AG22&lt;&gt;""),"〇","×")</f>
        <v>×</v>
      </c>
    </row>
    <row r="90" spans="1:34">
      <c r="K90" s="305" t="str">
        <f>IF($K$88="基準器検査",IF(K80="","",K80),IF(R80="","",R80))</f>
        <v/>
      </c>
      <c r="L90" s="306"/>
      <c r="M90" s="91" t="str">
        <f>IF($K$88="基準器検査",IF(M80="","",M80),IF(T80="","",T80))</f>
        <v/>
      </c>
      <c r="N90" s="91" t="str">
        <f>IF($K$88="基準器検査",IF(N80="","",N80),IF(U80="","",U80))</f>
        <v/>
      </c>
      <c r="Z90" s="73">
        <v>88</v>
      </c>
      <c r="AA90" s="74" t="str">
        <f>IF(AH90="×","",分銅情報入力シート!AG23)</f>
        <v/>
      </c>
      <c r="AB90" s="74" t="str">
        <f>IF(AH90="×","",分銅情報入力シート!AH23)</f>
        <v/>
      </c>
      <c r="AC90" s="74" t="str">
        <f>IF(AH90="×","",分銅情報入力シート!AI23)</f>
        <v/>
      </c>
      <c r="AD90" s="99" t="str">
        <f>IF(AH90="×","",IF(OR(分銅情報入力シート!AJ23="",分銅情報入力シート!AJ23="　"),"",分銅情報入力シート!AJ23))</f>
        <v/>
      </c>
      <c r="AE90" s="101" t="str">
        <f>IF(AH90="×","",分銅情報入力シート!AK23)</f>
        <v/>
      </c>
      <c r="AG90" t="str">
        <f t="shared" si="21"/>
        <v/>
      </c>
      <c r="AH90" s="70" t="str">
        <f>IF(AND(分銅情報入力シート!AG23&lt;&gt;"",分銅情報入力シート!AG23&lt;&gt;"",分銅情報入力シート!AG23&lt;&gt;"",分銅情報入力シート!AG23&lt;&gt;""),"〇","×")</f>
        <v>×</v>
      </c>
    </row>
    <row r="91" spans="1:34">
      <c r="K91" s="305" t="str">
        <f t="shared" ref="K91:K92" si="29">IF($K$88="基準器検査",IF(K81="","",K81),IF(R81="","",R81))</f>
        <v/>
      </c>
      <c r="L91" s="306"/>
      <c r="M91" s="91" t="str">
        <f t="shared" ref="M91:M92" si="30">IF($K$88="基準器検査",IF(M81="","",M81),IF(T81="","",T81))</f>
        <v/>
      </c>
      <c r="N91" s="91" t="str">
        <f>IF($K$88="基準器検査",IF(N81="","",N81),IF(U81="","",U81))</f>
        <v/>
      </c>
      <c r="Z91" s="73">
        <v>89</v>
      </c>
      <c r="AA91" s="74" t="str">
        <f>IF(AH91="×","",分銅情報入力シート!AG24)</f>
        <v/>
      </c>
      <c r="AB91" s="74" t="str">
        <f>IF(AH91="×","",分銅情報入力シート!AH24)</f>
        <v/>
      </c>
      <c r="AC91" s="74" t="str">
        <f>IF(AH91="×","",分銅情報入力シート!AI24)</f>
        <v/>
      </c>
      <c r="AD91" s="99" t="str">
        <f>IF(AH91="×","",IF(OR(分銅情報入力シート!AJ24="",分銅情報入力シート!AJ24="　"),"",分銅情報入力シート!AJ24))</f>
        <v/>
      </c>
      <c r="AE91" s="101" t="str">
        <f>IF(AH91="×","",分銅情報入力シート!AK24)</f>
        <v/>
      </c>
      <c r="AG91" t="str">
        <f t="shared" si="21"/>
        <v/>
      </c>
      <c r="AH91" s="70" t="str">
        <f>IF(AND(分銅情報入力シート!AG24&lt;&gt;"",分銅情報入力シート!AG24&lt;&gt;"",分銅情報入力シート!AG24&lt;&gt;"",分銅情報入力シート!AG24&lt;&gt;""),"〇","×")</f>
        <v>×</v>
      </c>
    </row>
    <row r="92" spans="1:34">
      <c r="K92" s="305" t="str">
        <f t="shared" si="29"/>
        <v/>
      </c>
      <c r="L92" s="306"/>
      <c r="M92" s="91" t="str">
        <f t="shared" si="30"/>
        <v/>
      </c>
      <c r="N92" s="91" t="str">
        <f>IF($K$88="基準器検査",IF(N82="","",N82),IF(U82="","",U82))</f>
        <v/>
      </c>
      <c r="Z92" s="73">
        <v>90</v>
      </c>
      <c r="AA92" s="74" t="str">
        <f>IF(AH92="×","",分銅情報入力シート!AG25)</f>
        <v/>
      </c>
      <c r="AB92" s="74" t="str">
        <f>IF(AH92="×","",分銅情報入力シート!AH25)</f>
        <v/>
      </c>
      <c r="AC92" s="74" t="str">
        <f>IF(AH92="×","",分銅情報入力シート!AI25)</f>
        <v/>
      </c>
      <c r="AD92" s="99" t="str">
        <f>IF(AH92="×","",IF(OR(分銅情報入力シート!AJ25="",分銅情報入力シート!AJ25="　"),"",分銅情報入力シート!AJ25))</f>
        <v/>
      </c>
      <c r="AE92" s="101" t="str">
        <f>IF(AH92="×","",分銅情報入力シート!AK25)</f>
        <v/>
      </c>
      <c r="AG92" t="str">
        <f t="shared" si="21"/>
        <v/>
      </c>
      <c r="AH92" s="70" t="str">
        <f>IF(AND(分銅情報入力シート!AG25&lt;&gt;"",分銅情報入力シート!AG25&lt;&gt;"",分銅情報入力シート!AG25&lt;&gt;"",分銅情報入力シート!AG25&lt;&gt;""),"〇","×")</f>
        <v>×</v>
      </c>
    </row>
    <row r="93" spans="1:34">
      <c r="M93" s="70">
        <f>COUNT(M90:M92)</f>
        <v>0</v>
      </c>
      <c r="Z93" s="73">
        <v>91</v>
      </c>
      <c r="AA93" s="74" t="str">
        <f>IF(AH93="×","",分銅情報入力シート!AM11)</f>
        <v/>
      </c>
      <c r="AB93" s="74" t="str">
        <f>IF(AH93="×","",分銅情報入力シート!AN11)</f>
        <v/>
      </c>
      <c r="AC93" s="74" t="str">
        <f>IF(AH93="×","",分銅情報入力シート!AO11)</f>
        <v/>
      </c>
      <c r="AD93" s="99" t="str">
        <f>IF(AH93="×","",IF(OR(分銅情報入力シート!AP11="",分銅情報入力シート!AP11="　"),"",分銅情報入力シート!AP11))</f>
        <v/>
      </c>
      <c r="AE93" s="101" t="str">
        <f>IF(AH93="×","",分銅情報入力シート!AQ11)</f>
        <v/>
      </c>
      <c r="AG93" t="str">
        <f t="shared" si="21"/>
        <v/>
      </c>
      <c r="AH93" s="70" t="str">
        <f>IF(AND(分銅情報入力シート!AM11&lt;&gt;"",分銅情報入力シート!AM11&lt;&gt;"",分銅情報入力シート!AM11&lt;&gt;"",分銅情報入力シート!AM11&lt;&gt;""),"〇","×")</f>
        <v>×</v>
      </c>
    </row>
    <row r="94" spans="1:34">
      <c r="Z94" s="73">
        <v>92</v>
      </c>
      <c r="AA94" s="74" t="str">
        <f>IF(AH94="×","",分銅情報入力シート!AM12)</f>
        <v/>
      </c>
      <c r="AB94" s="74" t="str">
        <f>IF(AH94="×","",分銅情報入力シート!AN12)</f>
        <v/>
      </c>
      <c r="AC94" s="74" t="str">
        <f>IF(AH94="×","",分銅情報入力シート!AO12)</f>
        <v/>
      </c>
      <c r="AD94" s="74" t="str">
        <f>IF(AH94="×","",IF(OR(分銅情報入力シート!AP12="",分銅情報入力シート!AP12="　"),"",分銅情報入力シート!AP12))</f>
        <v/>
      </c>
      <c r="AE94" s="220" t="str">
        <f>IF(AH94="×","",分銅情報入力シート!AQ12)</f>
        <v/>
      </c>
      <c r="AG94" t="str">
        <f t="shared" si="21"/>
        <v/>
      </c>
      <c r="AH94" s="70" t="str">
        <f>IF(AND(分銅情報入力シート!AM12&lt;&gt;"",分銅情報入力シート!AM12&lt;&gt;"",分銅情報入力シート!AM12&lt;&gt;"",分銅情報入力シート!AM12&lt;&gt;""),"〇","×")</f>
        <v>×</v>
      </c>
    </row>
    <row r="95" spans="1:34">
      <c r="A95" s="93"/>
      <c r="B95" s="93"/>
      <c r="C95" s="93"/>
      <c r="D95" s="93"/>
      <c r="E95" s="93"/>
      <c r="F95" s="93"/>
      <c r="G95" s="93"/>
      <c r="H95" s="93"/>
      <c r="I95" s="93"/>
      <c r="J95" s="93"/>
      <c r="K95" s="93"/>
      <c r="L95" s="93"/>
      <c r="M95" s="93"/>
      <c r="N95" s="93"/>
      <c r="O95" s="93"/>
      <c r="P95" s="93"/>
      <c r="Q95" s="93"/>
      <c r="R95" s="93"/>
      <c r="S95" s="93"/>
      <c r="T95" s="93"/>
      <c r="U95" s="93"/>
      <c r="V95" s="93"/>
      <c r="W95" s="93"/>
      <c r="Z95" s="73">
        <v>93</v>
      </c>
      <c r="AA95" s="74" t="str">
        <f>IF(AH95="×","",分銅情報入力シート!AM13)</f>
        <v/>
      </c>
      <c r="AB95" s="74" t="str">
        <f>IF(AH95="×","",分銅情報入力シート!AN13)</f>
        <v/>
      </c>
      <c r="AC95" s="74" t="str">
        <f>IF(AH95="×","",分銅情報入力シート!AO13)</f>
        <v/>
      </c>
      <c r="AD95" s="74" t="str">
        <f>IF(AH95="×","",IF(OR(分銅情報入力シート!AP13="",分銅情報入力シート!AP13="　"),"",分銅情報入力シート!AP13))</f>
        <v/>
      </c>
      <c r="AE95" s="220" t="str">
        <f>IF(AH95="×","",分銅情報入力シート!AQ13)</f>
        <v/>
      </c>
      <c r="AG95" t="str">
        <f t="shared" si="21"/>
        <v/>
      </c>
      <c r="AH95" s="70" t="str">
        <f>IF(AND(分銅情報入力シート!AM13&lt;&gt;"",分銅情報入力シート!AM13&lt;&gt;"",分銅情報入力シート!AM13&lt;&gt;"",分銅情報入力シート!AM13&lt;&gt;""),"〇","×")</f>
        <v>×</v>
      </c>
    </row>
    <row r="96" spans="1:34">
      <c r="Z96" s="73">
        <v>94</v>
      </c>
      <c r="AA96" s="74" t="str">
        <f>IF(AH96="×","",分銅情報入力シート!AM14)</f>
        <v/>
      </c>
      <c r="AB96" s="74" t="str">
        <f>IF(AH96="×","",分銅情報入力シート!AN14)</f>
        <v/>
      </c>
      <c r="AC96" s="74" t="str">
        <f>IF(AH96="×","",分銅情報入力シート!AO14)</f>
        <v/>
      </c>
      <c r="AD96" s="74" t="str">
        <f>IF(AH96="×","",IF(OR(分銅情報入力シート!AP14="",分銅情報入力シート!AP14="　"),"",分銅情報入力シート!AP14))</f>
        <v/>
      </c>
      <c r="AE96" s="220" t="str">
        <f>IF(AH96="×","",分銅情報入力シート!AQ14)</f>
        <v/>
      </c>
      <c r="AG96" t="str">
        <f t="shared" si="21"/>
        <v/>
      </c>
      <c r="AH96" s="70" t="str">
        <f>IF(AND(分銅情報入力シート!AM14&lt;&gt;"",分銅情報入力シート!AM14&lt;&gt;"",分銅情報入力シート!AM14&lt;&gt;"",分銅情報入力シート!AM14&lt;&gt;""),"〇","×")</f>
        <v>×</v>
      </c>
    </row>
    <row r="97" spans="1:34">
      <c r="I97" s="229"/>
      <c r="J97" s="91"/>
      <c r="K97" s="91" t="s">
        <v>12</v>
      </c>
      <c r="L97" s="91" t="s">
        <v>130</v>
      </c>
      <c r="M97" s="91" t="s">
        <v>13</v>
      </c>
      <c r="N97" s="91" t="s">
        <v>14</v>
      </c>
      <c r="Z97" s="73">
        <v>95</v>
      </c>
      <c r="AA97" s="74" t="str">
        <f>IF(AH97="×","",分銅情報入力シート!AM15)</f>
        <v/>
      </c>
      <c r="AB97" s="74" t="str">
        <f>IF(AH97="×","",分銅情報入力シート!AN15)</f>
        <v/>
      </c>
      <c r="AC97" s="74" t="str">
        <f>IF(AH97="×","",分銅情報入力シート!AO15)</f>
        <v/>
      </c>
      <c r="AD97" s="74" t="str">
        <f>IF(AH97="×","",IF(OR(分銅情報入力シート!AP15="",分銅情報入力シート!AP15="　"),"",分銅情報入力シート!AP15))</f>
        <v/>
      </c>
      <c r="AE97" s="220" t="str">
        <f>IF(AH97="×","",分銅情報入力シート!AQ15)</f>
        <v/>
      </c>
      <c r="AG97" t="str">
        <f t="shared" si="21"/>
        <v/>
      </c>
      <c r="AH97" s="70" t="str">
        <f>IF(AND(分銅情報入力シート!AM15&lt;&gt;"",分銅情報入力シート!AM15&lt;&gt;"",分銅情報入力シート!AM15&lt;&gt;"",分銅情報入力シート!AM15&lt;&gt;""),"〇","×")</f>
        <v>×</v>
      </c>
    </row>
    <row r="98" spans="1:34">
      <c r="B98" s="91" t="s">
        <v>12</v>
      </c>
      <c r="C98" s="91">
        <f>COUNTIF($AC$3:$AC$102,B98)</f>
        <v>0</v>
      </c>
      <c r="E98" s="108" t="s">
        <v>17</v>
      </c>
      <c r="F98" s="91">
        <f t="shared" ref="F98:F104" si="31">COUNTIF($AE$3:$AE$102,E98)</f>
        <v>0</v>
      </c>
      <c r="H98" s="102"/>
      <c r="I98" s="230"/>
      <c r="J98" s="108" t="s">
        <v>17</v>
      </c>
      <c r="K98" s="91">
        <f t="shared" ref="K98:N104" si="32">COUNTIFS($AC$3:$AC$102,K$97,$AE$3:$AE$102,$J98)</f>
        <v>0</v>
      </c>
      <c r="L98" s="91">
        <f t="shared" si="32"/>
        <v>0</v>
      </c>
      <c r="M98" s="91">
        <f t="shared" si="32"/>
        <v>0</v>
      </c>
      <c r="N98" s="91">
        <f t="shared" si="32"/>
        <v>0</v>
      </c>
      <c r="Z98" s="73">
        <v>96</v>
      </c>
      <c r="AA98" s="74" t="str">
        <f>IF(AH98="×","",分銅情報入力シート!AM16)</f>
        <v/>
      </c>
      <c r="AB98" s="74" t="str">
        <f>IF(AH98="×","",分銅情報入力シート!AN16)</f>
        <v/>
      </c>
      <c r="AC98" s="74" t="str">
        <f>IF(AH98="×","",分銅情報入力シート!AO16)</f>
        <v/>
      </c>
      <c r="AD98" s="74" t="str">
        <f>IF(AH98="×","",IF(OR(分銅情報入力シート!AP16="",分銅情報入力シート!AP16="　"),"",分銅情報入力シート!AP16))</f>
        <v/>
      </c>
      <c r="AE98" s="220" t="str">
        <f>IF(AH98="×","",分銅情報入力シート!AQ16)</f>
        <v/>
      </c>
      <c r="AG98" t="str">
        <f t="shared" si="21"/>
        <v/>
      </c>
      <c r="AH98" s="70" t="str">
        <f>IF(AND(分銅情報入力シート!AM16&lt;&gt;"",分銅情報入力シート!AM16&lt;&gt;"",分銅情報入力シート!AM16&lt;&gt;"",分銅情報入力シート!AM16&lt;&gt;""),"〇","×")</f>
        <v>×</v>
      </c>
    </row>
    <row r="99" spans="1:34">
      <c r="B99" s="91" t="s">
        <v>130</v>
      </c>
      <c r="C99" s="91">
        <f>COUNTIF($AC$3:$AC$102,B99)</f>
        <v>0</v>
      </c>
      <c r="E99" s="108" t="s">
        <v>18</v>
      </c>
      <c r="F99" s="91">
        <f t="shared" si="31"/>
        <v>0</v>
      </c>
      <c r="H99" s="102"/>
      <c r="I99" s="230"/>
      <c r="J99" s="108" t="s">
        <v>18</v>
      </c>
      <c r="K99" s="91">
        <f t="shared" si="32"/>
        <v>0</v>
      </c>
      <c r="L99" s="91">
        <f t="shared" si="32"/>
        <v>0</v>
      </c>
      <c r="M99" s="91">
        <f t="shared" si="32"/>
        <v>0</v>
      </c>
      <c r="N99" s="91">
        <f t="shared" si="32"/>
        <v>0</v>
      </c>
      <c r="Z99" s="73">
        <v>97</v>
      </c>
      <c r="AA99" s="74" t="str">
        <f>IF(AH99="×","",分銅情報入力シート!AM17)</f>
        <v/>
      </c>
      <c r="AB99" s="74" t="str">
        <f>IF(AH99="×","",分銅情報入力シート!AN17)</f>
        <v/>
      </c>
      <c r="AC99" s="74" t="str">
        <f>IF(AH99="×","",分銅情報入力シート!AO17)</f>
        <v/>
      </c>
      <c r="AD99" s="74" t="str">
        <f>IF(AH99="×","",IF(OR(分銅情報入力シート!AP17="",分銅情報入力シート!AP17="　"),"",分銅情報入力シート!AP17))</f>
        <v/>
      </c>
      <c r="AE99" s="220" t="str">
        <f>IF(AH99="×","",分銅情報入力シート!AQ17)</f>
        <v/>
      </c>
      <c r="AG99" t="str">
        <f t="shared" si="21"/>
        <v/>
      </c>
      <c r="AH99" s="70" t="str">
        <f>IF(AND(分銅情報入力シート!AM17&lt;&gt;"",分銅情報入力シート!AM17&lt;&gt;"",分銅情報入力シート!AM17&lt;&gt;"",分銅情報入力シート!AM17&lt;&gt;""),"〇","×")</f>
        <v>×</v>
      </c>
    </row>
    <row r="100" spans="1:34">
      <c r="B100" s="91" t="s">
        <v>13</v>
      </c>
      <c r="C100" s="91">
        <f>COUNTIF($AC$3:$AC$102,B100)</f>
        <v>0</v>
      </c>
      <c r="E100" s="108" t="s">
        <v>19</v>
      </c>
      <c r="F100" s="91">
        <f t="shared" si="31"/>
        <v>0</v>
      </c>
      <c r="H100" s="102"/>
      <c r="I100" s="230"/>
      <c r="J100" s="108" t="s">
        <v>19</v>
      </c>
      <c r="K100" s="91">
        <f t="shared" si="32"/>
        <v>0</v>
      </c>
      <c r="L100" s="91">
        <f t="shared" si="32"/>
        <v>0</v>
      </c>
      <c r="M100" s="91">
        <f t="shared" si="32"/>
        <v>0</v>
      </c>
      <c r="N100" s="91">
        <f t="shared" si="32"/>
        <v>0</v>
      </c>
      <c r="Z100" s="73">
        <v>98</v>
      </c>
      <c r="AA100" s="74" t="str">
        <f>IF(AH100="×","",分銅情報入力シート!AM18)</f>
        <v/>
      </c>
      <c r="AB100" s="74" t="str">
        <f>IF(AH100="×","",分銅情報入力シート!AN18)</f>
        <v/>
      </c>
      <c r="AC100" s="74" t="str">
        <f>IF(AH100="×","",分銅情報入力シート!AO18)</f>
        <v/>
      </c>
      <c r="AD100" s="74" t="str">
        <f>IF(AH100="×","",IF(OR(分銅情報入力シート!AP18="",分銅情報入力シート!AP18="　"),"",分銅情報入力シート!AP18))</f>
        <v/>
      </c>
      <c r="AE100" s="220" t="str">
        <f>IF(AH100="×","",分銅情報入力シート!AQ18)</f>
        <v/>
      </c>
      <c r="AG100" t="str">
        <f t="shared" si="21"/>
        <v/>
      </c>
      <c r="AH100" s="70" t="str">
        <f>IF(AND(分銅情報入力シート!AM18&lt;&gt;"",分銅情報入力シート!AM18&lt;&gt;"",分銅情報入力シート!AM18&lt;&gt;"",分銅情報入力シート!AM18&lt;&gt;""),"〇","×")</f>
        <v>×</v>
      </c>
    </row>
    <row r="101" spans="1:34">
      <c r="B101" s="91" t="s">
        <v>14</v>
      </c>
      <c r="C101" s="91">
        <f>COUNTIF($AC$3:$AC$102,B101)</f>
        <v>0</v>
      </c>
      <c r="E101" s="108" t="s">
        <v>142</v>
      </c>
      <c r="F101" s="91">
        <f t="shared" si="31"/>
        <v>0</v>
      </c>
      <c r="H101" s="102"/>
      <c r="I101" s="230"/>
      <c r="J101" s="108" t="s">
        <v>142</v>
      </c>
      <c r="K101" s="91">
        <f t="shared" si="32"/>
        <v>0</v>
      </c>
      <c r="L101" s="91">
        <f t="shared" si="32"/>
        <v>0</v>
      </c>
      <c r="M101" s="91">
        <f t="shared" si="32"/>
        <v>0</v>
      </c>
      <c r="N101" s="91">
        <f t="shared" si="32"/>
        <v>0</v>
      </c>
      <c r="Z101" s="73">
        <v>99</v>
      </c>
      <c r="AA101" s="74" t="str">
        <f>IF(AH101="×","",分銅情報入力シート!AM19)</f>
        <v/>
      </c>
      <c r="AB101" s="74" t="str">
        <f>IF(AH101="×","",分銅情報入力シート!AN19)</f>
        <v/>
      </c>
      <c r="AC101" s="74" t="str">
        <f>IF(AH101="×","",分銅情報入力シート!AO19)</f>
        <v/>
      </c>
      <c r="AD101" s="74" t="str">
        <f>IF(AH101="×","",IF(OR(分銅情報入力シート!AP19="",分銅情報入力シート!AP19="　"),"",分銅情報入力シート!AP19))</f>
        <v/>
      </c>
      <c r="AE101" s="220" t="str">
        <f>IF(AH101="×","",分銅情報入力シート!AQ19)</f>
        <v/>
      </c>
      <c r="AG101" t="str">
        <f t="shared" si="21"/>
        <v/>
      </c>
      <c r="AH101" s="70" t="str">
        <f>IF(AND(分銅情報入力シート!AM19&lt;&gt;"",分銅情報入力シート!AM19&lt;&gt;"",分銅情報入力シート!AM19&lt;&gt;"",分銅情報入力シート!AM19&lt;&gt;""),"〇","×")</f>
        <v>×</v>
      </c>
    </row>
    <row r="102" spans="1:34" ht="19.5" thickBot="1">
      <c r="E102" s="108" t="s">
        <v>20</v>
      </c>
      <c r="F102" s="91">
        <f t="shared" si="31"/>
        <v>0</v>
      </c>
      <c r="H102" s="102"/>
      <c r="I102" s="230"/>
      <c r="J102" s="108" t="s">
        <v>20</v>
      </c>
      <c r="K102" s="91">
        <f t="shared" si="32"/>
        <v>0</v>
      </c>
      <c r="L102" s="91">
        <f t="shared" si="32"/>
        <v>0</v>
      </c>
      <c r="M102" s="91">
        <f t="shared" si="32"/>
        <v>0</v>
      </c>
      <c r="N102" s="91">
        <f t="shared" si="32"/>
        <v>0</v>
      </c>
      <c r="Z102" s="79">
        <v>100</v>
      </c>
      <c r="AA102" s="219" t="str">
        <f>IF(AH102="×","",分銅情報入力シート!AM20)</f>
        <v/>
      </c>
      <c r="AB102" s="219" t="str">
        <f>IF(AH102="×","",分銅情報入力シート!AN20)</f>
        <v/>
      </c>
      <c r="AC102" s="219" t="str">
        <f>IF(AH102="×","",分銅情報入力シート!AO20)</f>
        <v/>
      </c>
      <c r="AD102" s="219" t="str">
        <f>IF(AH102="×","",IF(OR(分銅情報入力シート!AP20="",分銅情報入力シート!AP20="　"),"",分銅情報入力シート!AP20))</f>
        <v/>
      </c>
      <c r="AE102" s="221" t="str">
        <f>IF(AH102="×","",分銅情報入力シート!AQ20)</f>
        <v/>
      </c>
      <c r="AG102" t="str">
        <f t="shared" si="21"/>
        <v/>
      </c>
      <c r="AH102" s="70" t="str">
        <f>IF(AND(分銅情報入力シート!AM20&lt;&gt;"",分銅情報入力シート!AM20&lt;&gt;"",分銅情報入力シート!AM20&lt;&gt;"",分銅情報入力シート!AM20&lt;&gt;""),"〇","×")</f>
        <v>×</v>
      </c>
    </row>
    <row r="103" spans="1:34">
      <c r="B103" s="70" t="str">
        <f>IF(C98&gt;0,"円筒形","")&amp;IF(SUM(C99:C101)&gt;0,",","")&amp;IF(C99&gt;0,"角とう形","")&amp;IF(SUM(C100:C101)&gt;0,",","")&amp;IF(C100&gt;0,"板状","")&amp;IF(C101&gt;0,",","")&amp;IF(C101&gt;0,"線状","")</f>
        <v/>
      </c>
      <c r="E103" s="108" t="s">
        <v>131</v>
      </c>
      <c r="F103" s="91">
        <f t="shared" si="31"/>
        <v>0</v>
      </c>
      <c r="H103" s="102"/>
      <c r="I103" s="230"/>
      <c r="J103" s="108" t="s">
        <v>131</v>
      </c>
      <c r="K103" s="91">
        <f t="shared" si="32"/>
        <v>0</v>
      </c>
      <c r="L103" s="91">
        <f t="shared" si="32"/>
        <v>0</v>
      </c>
      <c r="M103" s="91">
        <f t="shared" si="32"/>
        <v>0</v>
      </c>
      <c r="N103" s="91">
        <f t="shared" si="32"/>
        <v>0</v>
      </c>
    </row>
    <row r="104" spans="1:34">
      <c r="E104" s="108" t="s">
        <v>10</v>
      </c>
      <c r="F104" s="91">
        <f t="shared" si="31"/>
        <v>0</v>
      </c>
      <c r="H104" s="102"/>
      <c r="I104" s="230"/>
      <c r="J104" s="108" t="s">
        <v>10</v>
      </c>
      <c r="K104" s="91">
        <f t="shared" si="32"/>
        <v>0</v>
      </c>
      <c r="L104" s="91">
        <f t="shared" si="32"/>
        <v>0</v>
      </c>
      <c r="M104" s="91">
        <f t="shared" si="32"/>
        <v>0</v>
      </c>
      <c r="N104" s="91">
        <f t="shared" si="32"/>
        <v>0</v>
      </c>
    </row>
    <row r="105" spans="1:34">
      <c r="H105" s="102"/>
      <c r="I105" s="230"/>
      <c r="J105" s="108"/>
      <c r="K105" s="91">
        <f>SUM(K98:K104)</f>
        <v>0</v>
      </c>
      <c r="L105" s="91">
        <f t="shared" ref="L105:N105" si="33">SUM(L98:L104)</f>
        <v>0</v>
      </c>
      <c r="M105" s="91">
        <f t="shared" si="33"/>
        <v>0</v>
      </c>
      <c r="N105" s="91">
        <f t="shared" si="33"/>
        <v>0</v>
      </c>
      <c r="AD105" s="102"/>
      <c r="AE105" s="70"/>
      <c r="AF105"/>
    </row>
    <row r="106" spans="1:34">
      <c r="E106" s="70" t="str">
        <f>IF(F98&gt;0,"ステンレス鋼","")&amp;IF(AND(F98&gt;0,SUM(F99:F104)&gt;0),",","")&amp;IF(F99&gt;0,"真ちゅう(メッキ)","")&amp;IF(AND(F99&gt;0,SUM(F100:F104)&gt;0),",","")&amp;IF(F100&gt;0,"洋銀","")&amp;IF(AND(F100&gt;0,SUM(F101:F104)&gt;0),",","")&amp;IF(F101&gt;0,"アルミニウム","")&amp;IF(AND(F101&gt;0,SUM(F102:F104)&gt;0),",","")&amp;IF(F102&gt;0,"アルミ合金","")&amp;IF(AND(F102&gt;0,SUM(F103:F104)&gt;0),",","")&amp;IF(F103&gt;0,"鋳鉄等","")&amp;IF(AND(F103&gt;0,F104&gt;0),",","")&amp;IF(F104&gt;0,"その他","")</f>
        <v/>
      </c>
    </row>
    <row r="107" spans="1:34">
      <c r="K107" s="70" t="str">
        <f>IF(K98&gt;0,"ステンレス鋼","")&amp;IF(AND(K98&gt;0,SUM(K99:K104)&gt;0),",","")&amp;IF(K99&gt;0,"真ちゅう(メッキ)","")&amp;IF(AND(K99&gt;0,SUM(K100:K104)&gt;0),",","")&amp;IF(K100&gt;0,"洋銀","")&amp;IF(AND(K100&gt;0,SUM(K101:K104)&gt;0),",","")&amp;IF(K101&gt;0,"アルミニウム","")&amp;IF(AND(K101&gt;0,SUM(K102:K104)&gt;0),",","")&amp;IF(K102&gt;0,"アルミ合金","")&amp;IF(AND(K102&gt;0,SUM(K103:K104)&gt;0),",","")&amp;IF(K103&gt;0,"鋳鉄等","")&amp;IF(AND(K103&gt;0,K104&gt;0),",","")&amp;IF(K104&gt;0,"その他","")</f>
        <v/>
      </c>
      <c r="L107" s="70" t="str">
        <f>IF(L98&gt;0,"ステンレス鋼","")&amp;IF(AND(L98&gt;0,SUM(L99:L104)&gt;0),",","")&amp;IF(L99&gt;0,"真ちゅう(メッキ)","")&amp;IF(AND(L99&gt;0,SUM(L100:L104)&gt;0),",","")&amp;IF(L100&gt;0,"洋銀","")&amp;IF(AND(L100&gt;0,SUM(L101:L104)&gt;0),",","")&amp;IF(L101&gt;0,"アルミニウム","")&amp;IF(AND(L101&gt;0,SUM(L102:L104)&gt;0),",","")&amp;IF(L102&gt;0,"アルミ合金","")&amp;IF(AND(L102&gt;0,SUM(L103:L104)&gt;0),",","")&amp;IF(L103&gt;0,"鋳鉄等","")&amp;IF(AND(L103&gt;0,L104&gt;0),",","")&amp;IF(L104&gt;0,"その他","")</f>
        <v/>
      </c>
      <c r="M107" s="70" t="str">
        <f>IF(M98&gt;0,"ステンレス鋼","")&amp;IF(AND(M98&gt;0,SUM(M99:M104)&gt;0),",","")&amp;IF(M99&gt;0,"真ちゅう(メッキ)","")&amp;IF(AND(M99&gt;0,SUM(M100:M104)&gt;0),",","")&amp;IF(M100&gt;0,"洋銀","")&amp;IF(AND(M100&gt;0,SUM(M101:M104)&gt;0),",","")&amp;IF(M101&gt;0,"アルミニウム","")&amp;IF(AND(M101&gt;0,SUM(M102:M104)&gt;0),",","")&amp;IF(M102&gt;0,"アルミ合金","")&amp;IF(AND(M102&gt;0,SUM(M103:M104)&gt;0),",","")&amp;IF(M103&gt;0,"鋳鉄等","")&amp;IF(AND(M103&gt;0,M104&gt;0),",","")&amp;IF(M104&gt;0,"その他","")</f>
        <v/>
      </c>
      <c r="N107" s="70" t="str">
        <f>IF(N98&gt;0,"ステンレス鋼","")&amp;IF(AND(N98&gt;0,SUM(N99:N104)&gt;0),",","")&amp;IF(N99&gt;0,"真ちゅう(メッキ)","")&amp;IF(AND(N99&gt;0,SUM(N100:N104)&gt;0),",","")&amp;IF(N100&gt;0,"洋銀","")&amp;IF(AND(N100&gt;0,SUM(N101:N104)&gt;0),",","")&amp;IF(N101&gt;0,"アルミニウム","")&amp;IF(AND(N101&gt;0,SUM(N102:N104)&gt;0),",","")&amp;IF(N102&gt;0,"アルミ合金","")&amp;IF(AND(N102&gt;0,SUM(N103:N104)&gt;0),",","")&amp;IF(N103&gt;0,"鋳鉄等","")&amp;IF(AND(N103&gt;0,N104&gt;0),",","")&amp;IF(N104&gt;0,"その他","")</f>
        <v/>
      </c>
      <c r="AD107" s="102"/>
      <c r="AE107" s="70"/>
      <c r="AF107"/>
    </row>
    <row r="111" spans="1:34">
      <c r="A111" s="93"/>
      <c r="B111" s="93"/>
      <c r="C111" s="93"/>
      <c r="D111" s="93"/>
      <c r="E111" s="93"/>
      <c r="F111" s="93"/>
      <c r="G111" s="93"/>
      <c r="H111" s="93"/>
      <c r="I111" s="93"/>
      <c r="J111" s="93"/>
      <c r="K111" s="93"/>
      <c r="L111" s="93"/>
      <c r="M111" s="93"/>
      <c r="N111" s="93"/>
      <c r="O111" s="93"/>
      <c r="P111" s="93"/>
      <c r="Q111" s="93"/>
      <c r="R111" s="93"/>
      <c r="S111" s="93"/>
      <c r="T111" s="93"/>
      <c r="U111" s="93"/>
      <c r="V111" s="93"/>
      <c r="W111" s="93"/>
    </row>
    <row r="113" spans="1:31">
      <c r="A113" s="70" t="s">
        <v>291</v>
      </c>
      <c r="B113" s="70" t="str">
        <f>IF(分銅情報入力シート!E2="一級(F2)","F2",IF(分銅情報入力シート!E2="二級(M1)","M1","M2"))</f>
        <v>M2</v>
      </c>
      <c r="C113" s="70">
        <f>分銅情報入力シート!E4</f>
        <v>0</v>
      </c>
      <c r="E113" s="70">
        <f>分銅情報入力シート!L2</f>
        <v>0</v>
      </c>
      <c r="F113" s="70">
        <f>申請者情報入力シート!H14</f>
        <v>0</v>
      </c>
      <c r="K113" s="70" t="str">
        <f>IF(分銅情報入力シート!E2="一級(F2)","一級",IF(分銅情報入力シート!E2="二級(M1)","二級","三級"))</f>
        <v>三級</v>
      </c>
    </row>
    <row r="114" spans="1:31">
      <c r="B114" s="304" t="s">
        <v>268</v>
      </c>
      <c r="C114" s="304"/>
      <c r="D114" s="92" t="s">
        <v>269</v>
      </c>
      <c r="E114" s="92" t="s">
        <v>270</v>
      </c>
      <c r="F114" s="92" t="s">
        <v>271</v>
      </c>
      <c r="G114" s="92" t="s">
        <v>272</v>
      </c>
      <c r="H114" s="70" t="s">
        <v>117</v>
      </c>
      <c r="K114" s="304" t="s">
        <v>268</v>
      </c>
      <c r="L114" s="304"/>
      <c r="M114" s="92" t="s">
        <v>269</v>
      </c>
      <c r="N114" s="92" t="s">
        <v>270</v>
      </c>
      <c r="O114" s="92" t="s">
        <v>271</v>
      </c>
      <c r="P114" s="92" t="s">
        <v>272</v>
      </c>
      <c r="Q114" s="70" t="s">
        <v>117</v>
      </c>
      <c r="Y114" s="102"/>
      <c r="AA114"/>
      <c r="AE114" s="70"/>
    </row>
    <row r="115" spans="1:31">
      <c r="A115" s="70">
        <v>1</v>
      </c>
      <c r="B115" s="305" t="str">
        <f>IF($B$113="F2",B5&amp;"-"&amp;C5,IF($B$113="M1",D5&amp;"-"&amp;E5,F5&amp;"-"&amp;G5))</f>
        <v>10mg-5kg</v>
      </c>
      <c r="C115" s="306"/>
      <c r="D115" s="91" t="str">
        <f>$B$113&amp;"_"&amp;IF($C$113="JCSS","単独",IF($C$113="JCSS+基準器検査","同時","対象外"))</f>
        <v>M2_対象外</v>
      </c>
      <c r="E115" s="91" t="str">
        <f>$E$113&amp;"_"&amp;IF($F$113="減免対象","免除","通常")</f>
        <v>0_通常</v>
      </c>
      <c r="F115" s="91">
        <f>D69</f>
        <v>0</v>
      </c>
      <c r="G115" s="91">
        <f>IF($C$113="基準器検査","-",IF($F$113="減免対象","免除",E69))</f>
        <v>890</v>
      </c>
      <c r="H115" s="70">
        <f t="shared" ref="H115:H120" si="34">IF(F115&lt;&gt;0,1,0)</f>
        <v>0</v>
      </c>
      <c r="K115" s="305" t="str">
        <f>IF($K$113="一級","200g以下","5kg以下")</f>
        <v>5kg以下</v>
      </c>
      <c r="L115" s="306"/>
      <c r="M115" s="91" t="str">
        <f>$K$113&amp;IF($C$113="基準器検査","_単独",IF($C$113="JCSS+基準器検査","_同時","_対象外"))</f>
        <v>三級_対象外</v>
      </c>
      <c r="N115" s="91" t="str">
        <f>IF($E$113="再校正","再検査",$E$113)&amp;"_"&amp;IF($F$113="減免対象","免除",IF($C$113="基準器検査","単独",IF($C$113="JCSS+基準器検査","同時","単独")))</f>
        <v>0_単独</v>
      </c>
      <c r="O115" s="91">
        <f>M69</f>
        <v>0</v>
      </c>
      <c r="P115" s="91">
        <f>IF($C$113="JCSS","-",IF($F$113="減免対象","免除",IF($C$113="JCSS+基準器検査",U69,N69)))</f>
        <v>480</v>
      </c>
      <c r="Q115" s="70">
        <f>IF(O115&lt;&gt;0,1,0)</f>
        <v>0</v>
      </c>
      <c r="Y115" s="102"/>
      <c r="AA115"/>
      <c r="AE115" s="70"/>
    </row>
    <row r="116" spans="1:31">
      <c r="A116" s="70">
        <v>2</v>
      </c>
      <c r="B116" s="305" t="str">
        <f>IF($B$113="F2",B6&amp;"-"&amp;C6,IF($B$113="M1",D6&amp;"-"&amp;E6,F6&amp;"-"&amp;G6))</f>
        <v>10kg-50kg</v>
      </c>
      <c r="C116" s="306"/>
      <c r="D116" s="91" t="str">
        <f t="shared" ref="D116:D120" si="35">$B$113&amp;"_"&amp;IF($C$113="JCSS","単独",IF($C$113="JCSS+基準器検査","同時","対象外"))</f>
        <v>M2_対象外</v>
      </c>
      <c r="E116" s="91" t="str">
        <f t="shared" ref="E116:E120" si="36">$E$113&amp;"_"&amp;IF($F$113="減免対象","免除","通常")</f>
        <v>0_通常</v>
      </c>
      <c r="F116" s="91">
        <f t="shared" ref="F116" si="37">D70</f>
        <v>0</v>
      </c>
      <c r="G116" s="91">
        <f t="shared" ref="G116:G120" si="38">IF($C$113="基準器検査","-",IF($F$113="減免対象","免除",E70))</f>
        <v>1200</v>
      </c>
      <c r="H116" s="70">
        <f t="shared" si="34"/>
        <v>0</v>
      </c>
      <c r="K116" s="305" t="str">
        <f>IF($K$113="一級","200g超え","10-50kg以下")</f>
        <v>10-50kg以下</v>
      </c>
      <c r="L116" s="306"/>
      <c r="M116" s="91" t="str">
        <f t="shared" ref="M116:M117" si="39">$K$113&amp;IF($C$113="基準器検査","_単独",IF($C$113="JCSS+基準器検査","_同時","_対象外"))</f>
        <v>三級_対象外</v>
      </c>
      <c r="N116" s="91" t="str">
        <f>IF($E$113="再校正","再検査",$E$113)&amp;"_"&amp;IF($F$113="減免対象","免除",IF($C$113="基準器検査","単独",IF($C$113="JCSS+基準器検査","同時","単独")))</f>
        <v>0_単独</v>
      </c>
      <c r="O116" s="91">
        <f t="shared" ref="O116:O117" si="40">M70</f>
        <v>0</v>
      </c>
      <c r="P116" s="91">
        <f>IF($C$113="JCSS","-",IF($F$113="減免対象","免除",IF($C$113="JCSS+基準器検査",U70,N70)))</f>
        <v>650</v>
      </c>
      <c r="Q116" s="70">
        <f>IF(O116&lt;&gt;0,1,0)</f>
        <v>0</v>
      </c>
      <c r="Y116" s="102"/>
      <c r="AA116"/>
      <c r="AE116" s="70"/>
    </row>
    <row r="117" spans="1:31">
      <c r="A117" s="70">
        <v>3</v>
      </c>
      <c r="B117" s="305" t="str">
        <f>IF($B$113="F2",B7&amp;"-"&amp;C7,IF($B$113="M1",D7,F7))</f>
        <v>100kg</v>
      </c>
      <c r="C117" s="306"/>
      <c r="D117" s="91" t="str">
        <f t="shared" si="35"/>
        <v>M2_対象外</v>
      </c>
      <c r="E117" s="91" t="str">
        <f t="shared" si="36"/>
        <v>0_通常</v>
      </c>
      <c r="F117" s="91">
        <f t="shared" ref="F117" si="41">D71</f>
        <v>0</v>
      </c>
      <c r="G117" s="91">
        <f t="shared" si="38"/>
        <v>8000</v>
      </c>
      <c r="H117" s="70">
        <f t="shared" si="34"/>
        <v>0</v>
      </c>
      <c r="K117" s="305" t="str">
        <f>IF(K113="一級","","50kg超え")</f>
        <v>50kg超え</v>
      </c>
      <c r="L117" s="306"/>
      <c r="M117" s="91" t="str">
        <f t="shared" si="39"/>
        <v>三級_対象外</v>
      </c>
      <c r="N117" s="91" t="str">
        <f>IF($E$113="再校正","再検査",$E$113)&amp;"_"&amp;IF($F$113="減免対象","免除",IF($C$113="基準器検査","単独",IF($C$113="JCSS+基準器検査","同時","単独")))</f>
        <v>0_単独</v>
      </c>
      <c r="O117" s="91">
        <f t="shared" si="40"/>
        <v>0</v>
      </c>
      <c r="P117" s="91">
        <f>IF($C$113="JCSS","-",IF($F$113="減免対象","免除",IF($C$113="JCSS+基準器検査",U71,N71)))</f>
        <v>7100</v>
      </c>
      <c r="Q117" s="70">
        <f>IF(O117&lt;&gt;0,1,0)</f>
        <v>0</v>
      </c>
      <c r="Y117" s="102"/>
      <c r="AA117"/>
      <c r="AE117" s="70"/>
    </row>
    <row r="118" spans="1:31">
      <c r="A118" s="70">
        <v>4</v>
      </c>
      <c r="B118" s="305" t="str">
        <f>IF($B$113="F2",B8&amp;"-"&amp;C8,IF($B$113="M1",D8,F8))</f>
        <v>200kg</v>
      </c>
      <c r="C118" s="306"/>
      <c r="D118" s="91" t="str">
        <f t="shared" si="35"/>
        <v>M2_対象外</v>
      </c>
      <c r="E118" s="91" t="str">
        <f t="shared" si="36"/>
        <v>0_通常</v>
      </c>
      <c r="F118" s="91">
        <f t="shared" ref="F118" si="42">D72</f>
        <v>0</v>
      </c>
      <c r="G118" s="91">
        <f t="shared" si="38"/>
        <v>8300</v>
      </c>
      <c r="H118" s="70">
        <f t="shared" si="34"/>
        <v>0</v>
      </c>
      <c r="O118" s="70">
        <f>COUNTIF(O115:O117,"&lt;&gt;0")</f>
        <v>0</v>
      </c>
      <c r="Q118" s="70" t="str">
        <f>Q115&amp;Q116&amp;Q117</f>
        <v>000</v>
      </c>
      <c r="Y118" s="102"/>
      <c r="AA118"/>
      <c r="AE118" s="70"/>
    </row>
    <row r="119" spans="1:31">
      <c r="A119" s="70">
        <v>5</v>
      </c>
      <c r="B119" s="305" t="str">
        <f>IF($B$113="F2",B9&amp;"-"&amp;C9,IF($B$113="M1",D9,F9))</f>
        <v>500kg</v>
      </c>
      <c r="C119" s="306"/>
      <c r="D119" s="91" t="str">
        <f t="shared" si="35"/>
        <v>M2_対象外</v>
      </c>
      <c r="E119" s="91" t="str">
        <f t="shared" si="36"/>
        <v>0_通常</v>
      </c>
      <c r="F119" s="91">
        <f t="shared" ref="F119" si="43">D73</f>
        <v>0</v>
      </c>
      <c r="G119" s="91">
        <f t="shared" si="38"/>
        <v>8800</v>
      </c>
      <c r="H119" s="70">
        <f t="shared" si="34"/>
        <v>0</v>
      </c>
      <c r="Y119" s="102"/>
      <c r="AA119"/>
      <c r="AE119" s="70"/>
    </row>
    <row r="120" spans="1:31">
      <c r="A120" s="70">
        <v>6</v>
      </c>
      <c r="B120" s="305" t="str">
        <f>IF($B$113="F2",B10&amp;"-"&amp;C10,IF($B$113="M1",D10,F10))</f>
        <v>1000kg</v>
      </c>
      <c r="C120" s="306"/>
      <c r="D120" s="91" t="str">
        <f t="shared" si="35"/>
        <v>M2_対象外</v>
      </c>
      <c r="E120" s="91" t="str">
        <f t="shared" si="36"/>
        <v>0_通常</v>
      </c>
      <c r="F120" s="91">
        <f t="shared" ref="F120" si="44">D74</f>
        <v>0</v>
      </c>
      <c r="G120" s="91">
        <f t="shared" si="38"/>
        <v>9300</v>
      </c>
      <c r="H120" s="70">
        <f t="shared" si="34"/>
        <v>0</v>
      </c>
      <c r="Y120" s="102"/>
      <c r="AA120"/>
      <c r="AE120" s="70"/>
    </row>
    <row r="121" spans="1:31">
      <c r="F121" s="70">
        <f>COUNTIF(F115:F120,"&lt;&gt;0")</f>
        <v>0</v>
      </c>
      <c r="H121" s="70" t="str">
        <f>H115&amp;H116&amp;H117&amp;H118&amp;H119&amp;H120</f>
        <v>000000</v>
      </c>
      <c r="Y121" s="102"/>
      <c r="AA121"/>
      <c r="AE121" s="70"/>
    </row>
    <row r="122" spans="1:31">
      <c r="Y122" s="102"/>
      <c r="AA122"/>
      <c r="AE122" s="70"/>
    </row>
    <row r="123" spans="1:31">
      <c r="Y123" s="102"/>
      <c r="AA123"/>
      <c r="AE123" s="70"/>
    </row>
    <row r="124" spans="1:31">
      <c r="B124" s="301" t="s">
        <v>9</v>
      </c>
      <c r="C124" s="302"/>
      <c r="D124" s="302"/>
      <c r="E124" s="302"/>
      <c r="F124" s="302"/>
      <c r="G124" s="303"/>
      <c r="K124" s="301" t="str">
        <f>IF(分銅情報入力シート!E4="JCSS+基準器検査","JCSS+基準器検査","基準器検査")</f>
        <v>基準器検査</v>
      </c>
      <c r="L124" s="302"/>
      <c r="M124" s="302"/>
      <c r="N124" s="302"/>
      <c r="O124" s="302"/>
      <c r="P124" s="303"/>
      <c r="AA124" s="102"/>
      <c r="AC124"/>
      <c r="AE124" s="70"/>
    </row>
    <row r="125" spans="1:31">
      <c r="B125" s="304" t="s">
        <v>268</v>
      </c>
      <c r="C125" s="304"/>
      <c r="D125" s="92" t="s">
        <v>269</v>
      </c>
      <c r="E125" s="92" t="s">
        <v>270</v>
      </c>
      <c r="F125" s="92" t="s">
        <v>271</v>
      </c>
      <c r="G125" s="92" t="s">
        <v>116</v>
      </c>
      <c r="H125" s="70" t="s">
        <v>117</v>
      </c>
      <c r="K125" s="304" t="s">
        <v>268</v>
      </c>
      <c r="L125" s="304"/>
      <c r="M125" s="92" t="s">
        <v>269</v>
      </c>
      <c r="N125" s="92" t="s">
        <v>270</v>
      </c>
      <c r="O125" s="92" t="s">
        <v>271</v>
      </c>
      <c r="P125" s="92" t="s">
        <v>116</v>
      </c>
      <c r="Q125" s="70" t="s">
        <v>117</v>
      </c>
      <c r="AA125" s="102"/>
      <c r="AC125"/>
      <c r="AE125" s="70"/>
    </row>
    <row r="126" spans="1:31">
      <c r="B126" s="300" t="str">
        <f>IF($H126&lt;&gt;"",VLOOKUP($H126,$A$115:$P$120,2,FALSE),"")</f>
        <v/>
      </c>
      <c r="C126" s="300"/>
      <c r="D126" s="91" t="str">
        <f t="shared" ref="D126:D131" si="45">IF($H126&lt;&gt;"",VLOOKUP($H126,$A$115:$P$120,4,FALSE),"")</f>
        <v/>
      </c>
      <c r="E126" s="91" t="str">
        <f t="shared" ref="E126:E131" si="46">IF($H126&lt;&gt;"",VLOOKUP($H126,$A$115:$P$120,5,FALSE),"")</f>
        <v/>
      </c>
      <c r="F126" s="91" t="str">
        <f t="shared" ref="F126:F131" si="47">IF($H126&lt;&gt;"",VLOOKUP($H126,$A$115:$P$120,6,FALSE),"")</f>
        <v/>
      </c>
      <c r="G126" s="91" t="str">
        <f t="shared" ref="G126:G131" si="48">IF($H126&lt;&gt;"",VLOOKUP($H126,$A$115:$P$120,7,FALSE),"")</f>
        <v/>
      </c>
      <c r="H126" s="70" t="str">
        <f>IF(F$121&gt;0,FIND("1",H$121),"")</f>
        <v/>
      </c>
      <c r="K126" s="300" t="str">
        <f>IF($Q126&lt;&gt;"",VLOOKUP($Q126,$A$115:$P$120,11,FALSE),"")</f>
        <v/>
      </c>
      <c r="L126" s="300"/>
      <c r="M126" s="91" t="str">
        <f>IF($Q126&lt;&gt;"",VLOOKUP($Q126,$A$115:$P$120,13,FALSE),"")</f>
        <v/>
      </c>
      <c r="N126" s="91" t="str">
        <f>IF($Q126&lt;&gt;"",VLOOKUP($Q126,$A$115:$P$120,14,FALSE),"")</f>
        <v/>
      </c>
      <c r="O126" s="91" t="str">
        <f>IF($Q126&lt;&gt;"",VLOOKUP($Q126,$A$115:$P$120,15,FALSE),"")</f>
        <v/>
      </c>
      <c r="P126" s="91" t="str">
        <f>IF($Q126&lt;&gt;"",VLOOKUP($Q126,$A$115:$P$120,16,FALSE),"")</f>
        <v/>
      </c>
      <c r="Q126" s="70" t="str">
        <f>IF(O$118&gt;0,FIND("1",Q$118),"")</f>
        <v/>
      </c>
      <c r="AA126" s="102"/>
      <c r="AC126"/>
      <c r="AE126" s="70"/>
    </row>
    <row r="127" spans="1:31">
      <c r="B127" s="300" t="str">
        <f t="shared" ref="B127:B131" si="49">IF($H127&lt;&gt;"",VLOOKUP($H127,$A$115:$P$120,2,FALSE),"")</f>
        <v/>
      </c>
      <c r="C127" s="300"/>
      <c r="D127" s="91" t="str">
        <f t="shared" si="45"/>
        <v/>
      </c>
      <c r="E127" s="91" t="str">
        <f t="shared" si="46"/>
        <v/>
      </c>
      <c r="F127" s="91" t="str">
        <f t="shared" si="47"/>
        <v/>
      </c>
      <c r="G127" s="91" t="str">
        <f t="shared" si="48"/>
        <v/>
      </c>
      <c r="H127" s="70" t="str">
        <f>IF(F121&gt;1,FIND("1",H121,FIND("1",H121)+H126),"")</f>
        <v/>
      </c>
      <c r="K127" s="300" t="str">
        <f>IF($Q127&lt;&gt;"",VLOOKUP($Q127,$A$115:$P$120,11,FALSE),"")</f>
        <v/>
      </c>
      <c r="L127" s="300"/>
      <c r="M127" s="91" t="str">
        <f>IF($Q127&lt;&gt;"",VLOOKUP($Q127,$A$115:$P$120,13,FALSE),"")</f>
        <v/>
      </c>
      <c r="N127" s="91" t="str">
        <f>IF($Q127&lt;&gt;"",VLOOKUP($Q127,$A$115:$P$120,14,FALSE),"")</f>
        <v/>
      </c>
      <c r="O127" s="91" t="str">
        <f>IF($Q127&lt;&gt;"",VLOOKUP($Q127,$A$115:$P$120,15,FALSE),"")</f>
        <v/>
      </c>
      <c r="P127" s="91" t="str">
        <f>IF($Q127&lt;&gt;"",VLOOKUP($Q127,$A$115:$P$120,16,FALSE),"")</f>
        <v/>
      </c>
      <c r="Q127" s="70" t="str">
        <f>IF(O118&gt;1,FIND("1",Q118,FIND("1",Q118)+Q126),"")</f>
        <v/>
      </c>
      <c r="AA127" s="102"/>
      <c r="AC127"/>
      <c r="AE127" s="70"/>
    </row>
    <row r="128" spans="1:31">
      <c r="B128" s="300" t="str">
        <f t="shared" si="49"/>
        <v/>
      </c>
      <c r="C128" s="300"/>
      <c r="D128" s="91" t="str">
        <f t="shared" si="45"/>
        <v/>
      </c>
      <c r="E128" s="91" t="str">
        <f t="shared" si="46"/>
        <v/>
      </c>
      <c r="F128" s="91" t="str">
        <f t="shared" si="47"/>
        <v/>
      </c>
      <c r="G128" s="91" t="str">
        <f t="shared" si="48"/>
        <v/>
      </c>
      <c r="H128" s="70" t="str">
        <f>IF(F121&gt;2,FIND("1",H121,FIND("1",H121)+H127),"")</f>
        <v/>
      </c>
      <c r="K128" s="300" t="str">
        <f>IF($Q128&lt;&gt;"",VLOOKUP($Q128,$A$115:$P$120,11,FALSE),"")</f>
        <v/>
      </c>
      <c r="L128" s="300"/>
      <c r="M128" s="91" t="str">
        <f>IF($Q128&lt;&gt;"",VLOOKUP($Q128,$A$115:$P$120,13,FALSE),"")</f>
        <v/>
      </c>
      <c r="N128" s="91" t="str">
        <f>IF($Q128&lt;&gt;"",VLOOKUP($Q128,$A$115:$P$120,14,FALSE),"")</f>
        <v/>
      </c>
      <c r="O128" s="91" t="str">
        <f>IF($Q128&lt;&gt;"",VLOOKUP($Q128,$A$115:$P$120,15,FALSE),"")</f>
        <v/>
      </c>
      <c r="P128" s="91" t="str">
        <f>IF($Q128&lt;&gt;"",VLOOKUP($Q128,$A$115:$P$120,16,FALSE),"")</f>
        <v/>
      </c>
      <c r="Q128" s="70" t="str">
        <f>IF(O118&gt;2,FIND("1",Q118,FIND("1",Q118)+Q127),"")</f>
        <v/>
      </c>
      <c r="AA128" s="102"/>
      <c r="AC128"/>
      <c r="AE128" s="70"/>
    </row>
    <row r="129" spans="2:33">
      <c r="B129" s="300" t="str">
        <f t="shared" si="49"/>
        <v/>
      </c>
      <c r="C129" s="300"/>
      <c r="D129" s="91" t="str">
        <f t="shared" si="45"/>
        <v/>
      </c>
      <c r="E129" s="91" t="str">
        <f t="shared" si="46"/>
        <v/>
      </c>
      <c r="F129" s="91" t="str">
        <f t="shared" si="47"/>
        <v/>
      </c>
      <c r="G129" s="91" t="str">
        <f t="shared" si="48"/>
        <v/>
      </c>
      <c r="H129" s="70" t="str">
        <f>IF(F121&gt;3,FIND("1",H121,FIND("1",H121)+H128),"")</f>
        <v/>
      </c>
      <c r="AA129" s="102"/>
      <c r="AC129"/>
      <c r="AE129" s="70"/>
    </row>
    <row r="130" spans="2:33">
      <c r="B130" s="300" t="str">
        <f t="shared" si="49"/>
        <v/>
      </c>
      <c r="C130" s="300"/>
      <c r="D130" s="91" t="str">
        <f t="shared" si="45"/>
        <v/>
      </c>
      <c r="E130" s="91" t="str">
        <f t="shared" si="46"/>
        <v/>
      </c>
      <c r="F130" s="91" t="str">
        <f t="shared" si="47"/>
        <v/>
      </c>
      <c r="G130" s="91" t="str">
        <f t="shared" si="48"/>
        <v/>
      </c>
      <c r="H130" s="70" t="str">
        <f>IF(F121&gt;4,FIND("1",H121,FIND("1",H121)+H129),"")</f>
        <v/>
      </c>
      <c r="AA130" s="102"/>
      <c r="AC130"/>
      <c r="AE130" s="70"/>
    </row>
    <row r="131" spans="2:33">
      <c r="B131" s="300" t="str">
        <f t="shared" si="49"/>
        <v/>
      </c>
      <c r="C131" s="300"/>
      <c r="D131" s="91" t="str">
        <f t="shared" si="45"/>
        <v/>
      </c>
      <c r="E131" s="91" t="str">
        <f t="shared" si="46"/>
        <v/>
      </c>
      <c r="F131" s="91" t="str">
        <f t="shared" si="47"/>
        <v/>
      </c>
      <c r="G131" s="91" t="str">
        <f t="shared" si="48"/>
        <v/>
      </c>
      <c r="H131" s="70" t="str">
        <f>IF(F121&gt;5,FIND("1",H121,FIND("1",H121)+H130),"")</f>
        <v/>
      </c>
      <c r="AA131" s="102"/>
      <c r="AC131"/>
      <c r="AE131" s="70"/>
    </row>
    <row r="132" spans="2:33">
      <c r="Y132" s="102"/>
      <c r="AA132"/>
      <c r="AE132" s="70"/>
    </row>
    <row r="133" spans="2:33">
      <c r="Y133" s="102"/>
      <c r="AA133"/>
      <c r="AE133" s="70"/>
    </row>
    <row r="134" spans="2:33">
      <c r="Y134" s="102"/>
      <c r="AA134"/>
      <c r="AE134" s="70"/>
    </row>
    <row r="135" spans="2:33">
      <c r="Y135" s="102"/>
      <c r="AA135"/>
      <c r="AE135" s="70"/>
    </row>
    <row r="136" spans="2:33">
      <c r="Y136" s="102"/>
      <c r="AA136"/>
      <c r="AE136" s="70"/>
    </row>
    <row r="137" spans="2:33">
      <c r="Y137" s="102"/>
      <c r="AA137"/>
      <c r="AE137" s="70"/>
      <c r="AG137" t="str">
        <f t="shared" ref="AG137:AG145" si="50">IF(AA137="","",IF(AB137="kg",AA137*1000,IF(AB137="mg",AA137/1000,AA137)))</f>
        <v/>
      </c>
    </row>
    <row r="138" spans="2:33">
      <c r="Y138" s="102"/>
      <c r="AA138"/>
      <c r="AE138" s="70"/>
      <c r="AG138" t="str">
        <f t="shared" si="50"/>
        <v/>
      </c>
    </row>
    <row r="139" spans="2:33">
      <c r="Y139" s="102"/>
      <c r="AA139"/>
      <c r="AE139" s="70"/>
      <c r="AG139" t="str">
        <f t="shared" si="50"/>
        <v/>
      </c>
    </row>
    <row r="140" spans="2:33">
      <c r="B140" t="s">
        <v>253</v>
      </c>
      <c r="D140" s="204" t="s">
        <v>273</v>
      </c>
      <c r="E140" t="s">
        <v>279</v>
      </c>
      <c r="K140" t="s">
        <v>245</v>
      </c>
      <c r="M140" s="205" t="s">
        <v>283</v>
      </c>
      <c r="N140" t="s">
        <v>286</v>
      </c>
      <c r="W140" s="102"/>
      <c r="Y140"/>
      <c r="AE140" s="70"/>
      <c r="AG140" t="str">
        <f t="shared" si="50"/>
        <v/>
      </c>
    </row>
    <row r="141" spans="2:33">
      <c r="B141" t="s">
        <v>254</v>
      </c>
      <c r="D141" s="204" t="s">
        <v>274</v>
      </c>
      <c r="E141" t="s">
        <v>280</v>
      </c>
      <c r="K141" t="s">
        <v>246</v>
      </c>
      <c r="M141" s="205" t="s">
        <v>284</v>
      </c>
      <c r="N141" t="s">
        <v>287</v>
      </c>
      <c r="W141" s="102"/>
      <c r="Y141"/>
      <c r="AE141" s="70"/>
      <c r="AG141" t="str">
        <f t="shared" si="50"/>
        <v/>
      </c>
    </row>
    <row r="142" spans="2:33">
      <c r="B142" t="s">
        <v>255</v>
      </c>
      <c r="D142" s="204" t="s">
        <v>275</v>
      </c>
      <c r="E142" t="s">
        <v>281</v>
      </c>
      <c r="K142"/>
      <c r="M142" s="205" t="s">
        <v>285</v>
      </c>
      <c r="N142" t="s">
        <v>288</v>
      </c>
      <c r="W142" s="102"/>
      <c r="Y142"/>
      <c r="AE142" s="70"/>
      <c r="AG142" t="str">
        <f t="shared" si="50"/>
        <v/>
      </c>
    </row>
    <row r="143" spans="2:33">
      <c r="B143"/>
      <c r="D143" s="204" t="s">
        <v>276</v>
      </c>
      <c r="E143" t="s">
        <v>282</v>
      </c>
      <c r="K143" t="s">
        <v>247</v>
      </c>
      <c r="N143" t="s">
        <v>289</v>
      </c>
      <c r="W143" s="102"/>
      <c r="Y143"/>
      <c r="AE143" s="70"/>
      <c r="AG143" t="str">
        <f t="shared" si="50"/>
        <v/>
      </c>
    </row>
    <row r="144" spans="2:33">
      <c r="B144" t="s">
        <v>256</v>
      </c>
      <c r="D144" s="204" t="s">
        <v>277</v>
      </c>
      <c r="K144" t="s">
        <v>248</v>
      </c>
      <c r="N144" t="s">
        <v>281</v>
      </c>
      <c r="W144" s="102"/>
      <c r="Y144"/>
      <c r="AE144" s="70"/>
      <c r="AG144" t="str">
        <f t="shared" si="50"/>
        <v/>
      </c>
    </row>
    <row r="145" spans="2:33">
      <c r="B145" t="s">
        <v>257</v>
      </c>
      <c r="D145" s="204" t="s">
        <v>278</v>
      </c>
      <c r="K145" t="s">
        <v>249</v>
      </c>
      <c r="N145" t="s">
        <v>290</v>
      </c>
      <c r="W145" s="102"/>
      <c r="Y145"/>
      <c r="AE145" s="70"/>
      <c r="AG145" t="str">
        <f t="shared" si="50"/>
        <v/>
      </c>
    </row>
    <row r="146" spans="2:33">
      <c r="B146" t="s">
        <v>258</v>
      </c>
      <c r="K146"/>
      <c r="W146" s="102"/>
      <c r="Y146"/>
      <c r="AE146" s="70"/>
      <c r="AG146" s="70"/>
    </row>
    <row r="147" spans="2:33">
      <c r="B147" t="s">
        <v>259</v>
      </c>
      <c r="K147" t="s">
        <v>250</v>
      </c>
      <c r="W147" s="102"/>
      <c r="Y147"/>
      <c r="AE147" s="70"/>
      <c r="AG147" s="70"/>
    </row>
    <row r="148" spans="2:33">
      <c r="B148" t="s">
        <v>260</v>
      </c>
      <c r="K148" t="s">
        <v>251</v>
      </c>
      <c r="W148" s="102"/>
      <c r="Y148"/>
      <c r="AE148" s="70"/>
      <c r="AG148" s="70"/>
    </row>
    <row r="149" spans="2:33">
      <c r="B149" t="s">
        <v>261</v>
      </c>
      <c r="K149" t="s">
        <v>252</v>
      </c>
      <c r="W149" s="102"/>
      <c r="Y149"/>
      <c r="AE149" s="70"/>
      <c r="AG149" s="70"/>
    </row>
    <row r="150" spans="2:33">
      <c r="B150"/>
      <c r="AC150" s="102"/>
      <c r="AE150"/>
      <c r="AG150" s="70"/>
    </row>
    <row r="151" spans="2:33">
      <c r="B151" t="s">
        <v>262</v>
      </c>
      <c r="AC151" s="102"/>
      <c r="AE151"/>
      <c r="AG151" s="70"/>
    </row>
    <row r="152" spans="2:33">
      <c r="B152" t="s">
        <v>263</v>
      </c>
      <c r="AC152" s="102"/>
      <c r="AE152"/>
      <c r="AG152" s="70"/>
    </row>
    <row r="153" spans="2:33">
      <c r="B153" t="s">
        <v>264</v>
      </c>
      <c r="AC153" s="102"/>
      <c r="AE153"/>
      <c r="AG153" s="70"/>
    </row>
    <row r="154" spans="2:33">
      <c r="B154" t="s">
        <v>265</v>
      </c>
      <c r="AC154" s="102"/>
      <c r="AE154"/>
      <c r="AG154" s="70"/>
    </row>
    <row r="155" spans="2:33">
      <c r="B155" t="s">
        <v>266</v>
      </c>
      <c r="AC155" s="102"/>
      <c r="AE155"/>
      <c r="AG155" s="70"/>
    </row>
    <row r="156" spans="2:33">
      <c r="B156" t="s">
        <v>267</v>
      </c>
      <c r="AC156" s="102"/>
      <c r="AE156"/>
      <c r="AG156" s="70"/>
    </row>
    <row r="157" spans="2:33">
      <c r="AC157" s="102"/>
      <c r="AE157"/>
      <c r="AG157" s="70"/>
    </row>
    <row r="158" spans="2:33">
      <c r="AC158" s="102"/>
      <c r="AE158"/>
      <c r="AG158" s="70"/>
    </row>
    <row r="159" spans="2:33">
      <c r="AC159" s="102"/>
      <c r="AE159"/>
      <c r="AG159" s="70"/>
    </row>
  </sheetData>
  <sheetProtection password="E95D" sheet="1" objects="1" scenarios="1" selectLockedCells="1"/>
  <mergeCells count="250">
    <mergeCell ref="B83:C83"/>
    <mergeCell ref="B84:C84"/>
    <mergeCell ref="B85:C85"/>
    <mergeCell ref="K78:N78"/>
    <mergeCell ref="K79:L79"/>
    <mergeCell ref="K80:L80"/>
    <mergeCell ref="K81:L81"/>
    <mergeCell ref="K82:L82"/>
    <mergeCell ref="B78:E78"/>
    <mergeCell ref="B79:C79"/>
    <mergeCell ref="B80:C80"/>
    <mergeCell ref="B81:C81"/>
    <mergeCell ref="B82:C82"/>
    <mergeCell ref="K89:L89"/>
    <mergeCell ref="K90:L90"/>
    <mergeCell ref="K91:L91"/>
    <mergeCell ref="K92:L92"/>
    <mergeCell ref="R78:U78"/>
    <mergeCell ref="R79:S79"/>
    <mergeCell ref="R80:S80"/>
    <mergeCell ref="R81:S81"/>
    <mergeCell ref="K88:N88"/>
    <mergeCell ref="R73:S73"/>
    <mergeCell ref="R74:S74"/>
    <mergeCell ref="B67:E67"/>
    <mergeCell ref="K67:N67"/>
    <mergeCell ref="R67:U67"/>
    <mergeCell ref="R68:S68"/>
    <mergeCell ref="R69:S69"/>
    <mergeCell ref="R70:S70"/>
    <mergeCell ref="R71:S71"/>
    <mergeCell ref="R72:S72"/>
    <mergeCell ref="B74:C74"/>
    <mergeCell ref="B68:C68"/>
    <mergeCell ref="K68:L68"/>
    <mergeCell ref="K69:L69"/>
    <mergeCell ref="K70:L70"/>
    <mergeCell ref="K71:L71"/>
    <mergeCell ref="K72:L72"/>
    <mergeCell ref="K73:L73"/>
    <mergeCell ref="K74:L74"/>
    <mergeCell ref="B69:C69"/>
    <mergeCell ref="B70:C70"/>
    <mergeCell ref="B71:C71"/>
    <mergeCell ref="B72:C72"/>
    <mergeCell ref="B73:C73"/>
    <mergeCell ref="B55:G55"/>
    <mergeCell ref="K55:P55"/>
    <mergeCell ref="R55:W55"/>
    <mergeCell ref="B56:C56"/>
    <mergeCell ref="D56:E56"/>
    <mergeCell ref="F56:G56"/>
    <mergeCell ref="K56:L56"/>
    <mergeCell ref="M56:N56"/>
    <mergeCell ref="O56:P56"/>
    <mergeCell ref="R56:S56"/>
    <mergeCell ref="T56:U56"/>
    <mergeCell ref="V56:W56"/>
    <mergeCell ref="B35:G35"/>
    <mergeCell ref="K35:P35"/>
    <mergeCell ref="R35:W35"/>
    <mergeCell ref="B36:C36"/>
    <mergeCell ref="D36:E36"/>
    <mergeCell ref="F36:G36"/>
    <mergeCell ref="K36:L36"/>
    <mergeCell ref="M36:N36"/>
    <mergeCell ref="O36:P36"/>
    <mergeCell ref="R36:S36"/>
    <mergeCell ref="T36:U36"/>
    <mergeCell ref="V36:W36"/>
    <mergeCell ref="B45:G45"/>
    <mergeCell ref="K45:P45"/>
    <mergeCell ref="R45:W45"/>
    <mergeCell ref="B46:C46"/>
    <mergeCell ref="D46:E46"/>
    <mergeCell ref="F46:G46"/>
    <mergeCell ref="K46:L46"/>
    <mergeCell ref="M46:N46"/>
    <mergeCell ref="O46:P46"/>
    <mergeCell ref="R46:S46"/>
    <mergeCell ref="T46:U46"/>
    <mergeCell ref="V46:W46"/>
    <mergeCell ref="O31:P31"/>
    <mergeCell ref="R31:S31"/>
    <mergeCell ref="T31:U31"/>
    <mergeCell ref="V31:W31"/>
    <mergeCell ref="B32:C32"/>
    <mergeCell ref="D32:E32"/>
    <mergeCell ref="F32:G32"/>
    <mergeCell ref="K32:L32"/>
    <mergeCell ref="M32:N32"/>
    <mergeCell ref="O32:P32"/>
    <mergeCell ref="R32:S32"/>
    <mergeCell ref="T32:U32"/>
    <mergeCell ref="V32:W32"/>
    <mergeCell ref="B31:C31"/>
    <mergeCell ref="D31:E31"/>
    <mergeCell ref="F31:G31"/>
    <mergeCell ref="K31:L31"/>
    <mergeCell ref="M31:N31"/>
    <mergeCell ref="O29:P29"/>
    <mergeCell ref="R29:S29"/>
    <mergeCell ref="T29:U29"/>
    <mergeCell ref="V29:W29"/>
    <mergeCell ref="B30:C30"/>
    <mergeCell ref="D30:E30"/>
    <mergeCell ref="F30:G30"/>
    <mergeCell ref="K30:L30"/>
    <mergeCell ref="M30:N30"/>
    <mergeCell ref="O30:P30"/>
    <mergeCell ref="R30:S30"/>
    <mergeCell ref="T30:U30"/>
    <mergeCell ref="V30:W30"/>
    <mergeCell ref="B29:C29"/>
    <mergeCell ref="D29:E29"/>
    <mergeCell ref="F29:G29"/>
    <mergeCell ref="K29:L29"/>
    <mergeCell ref="M29:N29"/>
    <mergeCell ref="O27:P27"/>
    <mergeCell ref="R27:S27"/>
    <mergeCell ref="T27:U27"/>
    <mergeCell ref="V27:W27"/>
    <mergeCell ref="B28:C28"/>
    <mergeCell ref="D28:E28"/>
    <mergeCell ref="F28:G28"/>
    <mergeCell ref="K28:L28"/>
    <mergeCell ref="M28:N28"/>
    <mergeCell ref="O28:P28"/>
    <mergeCell ref="R28:S28"/>
    <mergeCell ref="T28:U28"/>
    <mergeCell ref="V28:W28"/>
    <mergeCell ref="B27:C27"/>
    <mergeCell ref="D27:E27"/>
    <mergeCell ref="F27:G27"/>
    <mergeCell ref="K27:L27"/>
    <mergeCell ref="M27:N27"/>
    <mergeCell ref="B25:G25"/>
    <mergeCell ref="K25:P25"/>
    <mergeCell ref="R25:W25"/>
    <mergeCell ref="B26:C26"/>
    <mergeCell ref="D26:E26"/>
    <mergeCell ref="F26:G26"/>
    <mergeCell ref="K26:L26"/>
    <mergeCell ref="M26:N26"/>
    <mergeCell ref="O26:P26"/>
    <mergeCell ref="R26:S26"/>
    <mergeCell ref="T26:U26"/>
    <mergeCell ref="V26:W26"/>
    <mergeCell ref="V22:W22"/>
    <mergeCell ref="T17:U17"/>
    <mergeCell ref="T18:U18"/>
    <mergeCell ref="T19:U19"/>
    <mergeCell ref="T20:U20"/>
    <mergeCell ref="T21:U21"/>
    <mergeCell ref="T22:U22"/>
    <mergeCell ref="V17:W17"/>
    <mergeCell ref="V18:W18"/>
    <mergeCell ref="V19:W19"/>
    <mergeCell ref="V20:W20"/>
    <mergeCell ref="V21:W21"/>
    <mergeCell ref="R19:S19"/>
    <mergeCell ref="R20:S20"/>
    <mergeCell ref="R21:S21"/>
    <mergeCell ref="R22:S22"/>
    <mergeCell ref="O17:P17"/>
    <mergeCell ref="O18:P18"/>
    <mergeCell ref="O19:P19"/>
    <mergeCell ref="O20:P20"/>
    <mergeCell ref="O21:P21"/>
    <mergeCell ref="R17:S17"/>
    <mergeCell ref="R18:S18"/>
    <mergeCell ref="M19:N19"/>
    <mergeCell ref="M20:N20"/>
    <mergeCell ref="M21:N21"/>
    <mergeCell ref="M22:N22"/>
    <mergeCell ref="O22:P22"/>
    <mergeCell ref="F20:G20"/>
    <mergeCell ref="F21:G21"/>
    <mergeCell ref="F22:G22"/>
    <mergeCell ref="K17:L17"/>
    <mergeCell ref="K19:L19"/>
    <mergeCell ref="K20:L20"/>
    <mergeCell ref="K21:L21"/>
    <mergeCell ref="K22:L22"/>
    <mergeCell ref="F19:G19"/>
    <mergeCell ref="F17:G17"/>
    <mergeCell ref="F18:G18"/>
    <mergeCell ref="K18:L18"/>
    <mergeCell ref="M17:N17"/>
    <mergeCell ref="M18:N18"/>
    <mergeCell ref="B20:C20"/>
    <mergeCell ref="B21:C21"/>
    <mergeCell ref="B22:C22"/>
    <mergeCell ref="D17:E17"/>
    <mergeCell ref="D18:E18"/>
    <mergeCell ref="D19:E19"/>
    <mergeCell ref="D20:E20"/>
    <mergeCell ref="D21:E21"/>
    <mergeCell ref="D22:E22"/>
    <mergeCell ref="B19:C19"/>
    <mergeCell ref="B17:C17"/>
    <mergeCell ref="B18:C18"/>
    <mergeCell ref="R16:S16"/>
    <mergeCell ref="R4:S4"/>
    <mergeCell ref="T4:U4"/>
    <mergeCell ref="V4:W4"/>
    <mergeCell ref="R3:W3"/>
    <mergeCell ref="B15:G15"/>
    <mergeCell ref="R15:W15"/>
    <mergeCell ref="B4:C4"/>
    <mergeCell ref="D4:E4"/>
    <mergeCell ref="F4:G4"/>
    <mergeCell ref="B3:G3"/>
    <mergeCell ref="K4:L4"/>
    <mergeCell ref="M4:N4"/>
    <mergeCell ref="O4:P4"/>
    <mergeCell ref="K15:P15"/>
    <mergeCell ref="T16:U16"/>
    <mergeCell ref="V16:W16"/>
    <mergeCell ref="B16:C16"/>
    <mergeCell ref="D16:E16"/>
    <mergeCell ref="F16:G16"/>
    <mergeCell ref="K3:P3"/>
    <mergeCell ref="K16:L16"/>
    <mergeCell ref="M16:N16"/>
    <mergeCell ref="O16:P16"/>
    <mergeCell ref="B129:C129"/>
    <mergeCell ref="B130:C130"/>
    <mergeCell ref="B131:C131"/>
    <mergeCell ref="B124:G124"/>
    <mergeCell ref="B114:C114"/>
    <mergeCell ref="K114:L114"/>
    <mergeCell ref="K115:L115"/>
    <mergeCell ref="K116:L116"/>
    <mergeCell ref="K117:L117"/>
    <mergeCell ref="B115:C115"/>
    <mergeCell ref="B116:C116"/>
    <mergeCell ref="B117:C117"/>
    <mergeCell ref="B118:C118"/>
    <mergeCell ref="B119:C119"/>
    <mergeCell ref="B120:C120"/>
    <mergeCell ref="K124:P124"/>
    <mergeCell ref="K125:L125"/>
    <mergeCell ref="K126:L126"/>
    <mergeCell ref="K127:L127"/>
    <mergeCell ref="K128:L128"/>
    <mergeCell ref="B125:C125"/>
    <mergeCell ref="B126:C126"/>
    <mergeCell ref="B127:C127"/>
    <mergeCell ref="B128:C128"/>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BC33"/>
  <sheetViews>
    <sheetView workbookViewId="0">
      <selection activeCell="I29" sqref="I29"/>
    </sheetView>
  </sheetViews>
  <sheetFormatPr defaultRowHeight="18.75"/>
  <cols>
    <col min="1" max="1" width="13" bestFit="1" customWidth="1"/>
    <col min="2" max="2" width="10" customWidth="1"/>
    <col min="3" max="3" width="5.25" bestFit="1" customWidth="1"/>
    <col min="4" max="4" width="14.625" bestFit="1" customWidth="1"/>
    <col min="5" max="5" width="11.5" customWidth="1"/>
    <col min="6" max="6" width="11.875" customWidth="1"/>
    <col min="7" max="7" width="10.625" customWidth="1"/>
    <col min="8" max="8" width="11.625" customWidth="1"/>
    <col min="9" max="14" width="10.875" customWidth="1"/>
    <col min="15" max="15" width="11.625" customWidth="1"/>
    <col min="16" max="49" width="10.875" customWidth="1"/>
    <col min="50" max="50" width="23.25" customWidth="1"/>
    <col min="54" max="54" width="11.25" customWidth="1"/>
    <col min="55" max="55" width="51.25" customWidth="1"/>
  </cols>
  <sheetData>
    <row r="1" spans="1:54">
      <c r="A1" t="s">
        <v>324</v>
      </c>
      <c r="B1" s="318"/>
      <c r="C1" s="318"/>
      <c r="D1" s="318"/>
      <c r="E1" s="5"/>
    </row>
    <row r="2" spans="1:54">
      <c r="A2" s="319" t="s">
        <v>327</v>
      </c>
      <c r="B2" s="319"/>
      <c r="C2" s="319"/>
      <c r="D2" s="319"/>
      <c r="E2" s="319"/>
      <c r="F2" s="319"/>
      <c r="G2" s="319"/>
      <c r="H2" s="319"/>
      <c r="I2" s="319"/>
      <c r="J2" s="319"/>
      <c r="K2" s="319"/>
      <c r="L2" s="319"/>
      <c r="M2" s="319"/>
      <c r="N2" s="319"/>
      <c r="O2" s="319"/>
      <c r="P2" s="319"/>
      <c r="Q2" s="319"/>
      <c r="R2" s="319"/>
      <c r="S2" s="319"/>
      <c r="T2" s="319"/>
      <c r="U2" s="320"/>
      <c r="V2" s="316" t="s">
        <v>328</v>
      </c>
      <c r="W2" s="317"/>
      <c r="X2" s="317"/>
      <c r="Y2" s="317"/>
      <c r="Z2" s="317"/>
      <c r="AA2" s="317"/>
      <c r="AB2" s="317"/>
      <c r="AC2" s="317"/>
      <c r="AD2" s="317"/>
      <c r="AE2" s="317"/>
      <c r="AF2" s="317"/>
      <c r="AG2" s="317"/>
      <c r="AH2" s="317"/>
      <c r="AI2" s="317"/>
      <c r="AJ2" s="317"/>
      <c r="AK2" s="317"/>
      <c r="AL2" s="317"/>
      <c r="AM2" s="317"/>
      <c r="AN2" s="317"/>
      <c r="AO2" s="317"/>
      <c r="AP2" s="317"/>
      <c r="AQ2" s="317"/>
    </row>
    <row r="3" spans="1:54">
      <c r="A3" s="311" t="s">
        <v>295</v>
      </c>
      <c r="B3" s="310" t="s">
        <v>329</v>
      </c>
      <c r="C3" s="310" t="s">
        <v>323</v>
      </c>
      <c r="D3" s="310" t="s">
        <v>294</v>
      </c>
      <c r="E3" s="310" t="s">
        <v>15</v>
      </c>
      <c r="F3" s="310" t="s">
        <v>330</v>
      </c>
      <c r="G3" s="315" t="s">
        <v>331</v>
      </c>
      <c r="H3" s="310" t="s">
        <v>2</v>
      </c>
      <c r="I3" s="310" t="s">
        <v>333</v>
      </c>
      <c r="J3" s="310" t="s">
        <v>334</v>
      </c>
      <c r="K3" s="311" t="s">
        <v>387</v>
      </c>
      <c r="L3" s="310" t="s">
        <v>335</v>
      </c>
      <c r="M3" s="310" t="s">
        <v>336</v>
      </c>
      <c r="N3" s="310" t="s">
        <v>337</v>
      </c>
      <c r="O3" s="310" t="s">
        <v>332</v>
      </c>
      <c r="P3" s="310" t="s">
        <v>338</v>
      </c>
      <c r="Q3" s="310" t="s">
        <v>306</v>
      </c>
      <c r="R3" s="310" t="s">
        <v>339</v>
      </c>
      <c r="S3" s="310" t="s">
        <v>307</v>
      </c>
      <c r="T3" s="310" t="s">
        <v>340</v>
      </c>
      <c r="U3" s="310" t="s">
        <v>341</v>
      </c>
      <c r="V3" s="308" t="s">
        <v>342</v>
      </c>
      <c r="W3" s="309" t="s">
        <v>308</v>
      </c>
      <c r="X3" s="310" t="s">
        <v>343</v>
      </c>
      <c r="Y3" s="311" t="s">
        <v>344</v>
      </c>
      <c r="Z3" s="310" t="s">
        <v>325</v>
      </c>
      <c r="AA3" s="310"/>
      <c r="AB3" s="310"/>
      <c r="AC3" s="310"/>
      <c r="AD3" s="310"/>
      <c r="AE3" s="310"/>
      <c r="AF3" s="310"/>
      <c r="AG3" s="310"/>
      <c r="AH3" s="310"/>
      <c r="AI3" s="310"/>
      <c r="AJ3" s="310" t="s">
        <v>345</v>
      </c>
      <c r="AK3" s="310" t="s">
        <v>346</v>
      </c>
      <c r="AL3" s="310" t="s">
        <v>347</v>
      </c>
      <c r="AM3" s="313" t="s">
        <v>348</v>
      </c>
      <c r="AN3" s="313" t="s">
        <v>349</v>
      </c>
      <c r="AO3" s="313" t="s">
        <v>350</v>
      </c>
      <c r="AP3" s="315" t="s">
        <v>388</v>
      </c>
      <c r="AQ3" s="310" t="s">
        <v>11</v>
      </c>
    </row>
    <row r="4" spans="1:54">
      <c r="A4" s="312"/>
      <c r="B4" s="310"/>
      <c r="C4" s="310"/>
      <c r="D4" s="310"/>
      <c r="E4" s="310"/>
      <c r="F4" s="310"/>
      <c r="G4" s="310"/>
      <c r="H4" s="310"/>
      <c r="I4" s="310"/>
      <c r="J4" s="310"/>
      <c r="K4" s="312"/>
      <c r="L4" s="310"/>
      <c r="M4" s="310"/>
      <c r="N4" s="310"/>
      <c r="O4" s="310"/>
      <c r="P4" s="310"/>
      <c r="Q4" s="310"/>
      <c r="R4" s="310"/>
      <c r="S4" s="310"/>
      <c r="T4" s="310"/>
      <c r="U4" s="310"/>
      <c r="V4" s="308"/>
      <c r="W4" s="309"/>
      <c r="X4" s="310"/>
      <c r="Y4" s="312"/>
      <c r="Z4" s="222" t="s">
        <v>351</v>
      </c>
      <c r="AA4" s="223" t="s">
        <v>352</v>
      </c>
      <c r="AB4" s="223" t="s">
        <v>353</v>
      </c>
      <c r="AC4" s="223" t="s">
        <v>354</v>
      </c>
      <c r="AD4" s="223" t="s">
        <v>355</v>
      </c>
      <c r="AE4" s="223" t="s">
        <v>356</v>
      </c>
      <c r="AF4" s="223" t="s">
        <v>357</v>
      </c>
      <c r="AG4" s="223" t="s">
        <v>358</v>
      </c>
      <c r="AH4" s="223" t="s">
        <v>359</v>
      </c>
      <c r="AI4" s="224" t="s">
        <v>360</v>
      </c>
      <c r="AJ4" s="310"/>
      <c r="AK4" s="310"/>
      <c r="AL4" s="310"/>
      <c r="AM4" s="314"/>
      <c r="AN4" s="314"/>
      <c r="AO4" s="314"/>
      <c r="AP4" s="310"/>
      <c r="AQ4" s="310"/>
    </row>
    <row r="5" spans="1:54">
      <c r="A5" s="199" t="str">
        <f t="shared" ref="A5:A10" si="0">IF(O5="","","JCSS")</f>
        <v/>
      </c>
      <c r="B5" s="199"/>
      <c r="C5" s="199" t="str">
        <f>IF(O5="","",1)</f>
        <v/>
      </c>
      <c r="D5" s="227" t="str">
        <f>IF(O5="","",申請者情報入力シート!$H$3)</f>
        <v/>
      </c>
      <c r="E5" s="199" t="str">
        <f>IF(O5="","",IF(申請者情報入力シート!$H$7="",申請者情報入力シート!$H$4&amp;"　"&amp;申請者情報入力シート!$H$5,申請者情報入力シート!$H$7&amp;"　"&amp;申請者情報入力シート!$H$8))</f>
        <v/>
      </c>
      <c r="F5" s="199" t="str">
        <f>IF(O5="","",申請者情報入力シート!$H$4&amp;"　"&amp;申請者情報入力シート!$H$5)</f>
        <v/>
      </c>
      <c r="G5" s="199" t="str">
        <f>IF(O5="","",申請者情報入力シート!$H$6)</f>
        <v/>
      </c>
      <c r="H5" s="228"/>
      <c r="I5" s="228"/>
      <c r="J5" s="207"/>
      <c r="K5" s="207"/>
      <c r="L5" s="199" t="str">
        <f t="shared" ref="L5:L10" si="1">IF(O5="","","JCSS")</f>
        <v/>
      </c>
      <c r="M5" s="208" t="str">
        <f>IF(O5="","",IF(集計シート!D126="","",集計シート!D126))</f>
        <v/>
      </c>
      <c r="N5" s="217" t="str">
        <f>IF(O5="","",IF(集計シート!B126="","",集計シート!B126))</f>
        <v/>
      </c>
      <c r="O5" s="216" t="str">
        <f>IF(集計シート!$C$113="基準器検査","",IF(集計シート!F126="","",集計シート!F126))</f>
        <v/>
      </c>
      <c r="P5" s="218" t="str">
        <f>IF(O5="","",分銅情報入力シート!$L$2)</f>
        <v/>
      </c>
      <c r="Q5" s="215" t="str">
        <f>IF(O5="","",IF(集計シート!G126="","",集計シート!G126))</f>
        <v/>
      </c>
      <c r="R5" s="233"/>
      <c r="S5" s="215" t="str">
        <f t="shared" ref="S5:S10" si="2">IFERROR(O5*Q5,"")</f>
        <v/>
      </c>
      <c r="T5" s="215" t="str">
        <f>IF(O5="","",IF(申請者情報入力シート!$H$14="減免対象","免除",""))</f>
        <v/>
      </c>
      <c r="U5" s="232"/>
      <c r="V5" s="226" t="str">
        <f t="shared" ref="V5:V10" si="3">IF(O5="","","質量圧力計担当")</f>
        <v/>
      </c>
      <c r="W5" s="225"/>
      <c r="X5" s="231"/>
      <c r="Y5" s="231">
        <f>SUM(Z5:AI5)</f>
        <v>0</v>
      </c>
      <c r="Z5" s="210"/>
      <c r="AA5" s="210"/>
      <c r="AB5" s="210"/>
      <c r="AC5" s="210"/>
      <c r="AD5" s="210"/>
      <c r="AE5" s="210"/>
      <c r="AF5" s="199"/>
      <c r="AG5" s="199"/>
      <c r="AH5" s="199"/>
      <c r="AI5" s="199"/>
      <c r="AJ5" s="199"/>
      <c r="AK5" s="199"/>
      <c r="AL5" s="199"/>
      <c r="AM5" s="199"/>
      <c r="AN5" s="199"/>
      <c r="AO5" s="199"/>
      <c r="AP5" s="228"/>
      <c r="AQ5" s="199"/>
    </row>
    <row r="6" spans="1:54">
      <c r="A6" s="199" t="str">
        <f t="shared" si="0"/>
        <v/>
      </c>
      <c r="B6" s="199"/>
      <c r="C6" s="199" t="str">
        <f>IF(O6="","",2)</f>
        <v/>
      </c>
      <c r="D6" s="227" t="str">
        <f>IF(O6="","",申請者情報入力シート!$H$3)</f>
        <v/>
      </c>
      <c r="E6" s="199" t="str">
        <f>IF(O6="","",IF(申請者情報入力シート!$H$7="",申請者情報入力シート!$H$4&amp;"　"&amp;申請者情報入力シート!$H$5,申請者情報入力シート!$H$7&amp;"　"&amp;申請者情報入力シート!$H$8))</f>
        <v/>
      </c>
      <c r="F6" s="199" t="str">
        <f>IF(O6="","",申請者情報入力シート!$H$4&amp;"　"&amp;申請者情報入力シート!$H$5)</f>
        <v/>
      </c>
      <c r="G6" s="199" t="str">
        <f>IF(O6="","",申請者情報入力シート!$H$6)</f>
        <v/>
      </c>
      <c r="H6" s="228"/>
      <c r="I6" s="228"/>
      <c r="J6" s="207"/>
      <c r="K6" s="207"/>
      <c r="L6" s="199" t="str">
        <f t="shared" si="1"/>
        <v/>
      </c>
      <c r="M6" s="208" t="str">
        <f>IF(O6="","",IF(集計シート!D127="","",集計シート!D127))</f>
        <v/>
      </c>
      <c r="N6" s="217" t="str">
        <f>IF(O6="","",IF(集計シート!B127="","",集計シート!B127))</f>
        <v/>
      </c>
      <c r="O6" s="216" t="str">
        <f>IF(集計シート!$C$113="基準器検査","",IF(集計シート!F127="","",集計シート!F127))</f>
        <v/>
      </c>
      <c r="P6" s="218" t="str">
        <f>IF(O6="","",分銅情報入力シート!$L$2)</f>
        <v/>
      </c>
      <c r="Q6" s="215" t="str">
        <f>IF(O6="","",IF(集計シート!G127="","",集計シート!G127))</f>
        <v/>
      </c>
      <c r="R6" s="233"/>
      <c r="S6" s="215" t="str">
        <f t="shared" si="2"/>
        <v/>
      </c>
      <c r="T6" s="215" t="str">
        <f>IF(O6="","",IF(申請者情報入力シート!$H$14="減免対象","免除",""))</f>
        <v/>
      </c>
      <c r="U6" s="232"/>
      <c r="V6" s="226" t="str">
        <f t="shared" si="3"/>
        <v/>
      </c>
      <c r="W6" s="225"/>
      <c r="X6" s="231"/>
      <c r="Y6" s="231">
        <f t="shared" ref="Y6:Y10" si="4">SUM(Z6:AI6)</f>
        <v>0</v>
      </c>
      <c r="Z6" s="210"/>
      <c r="AA6" s="210"/>
      <c r="AB6" s="210"/>
      <c r="AC6" s="210"/>
      <c r="AD6" s="210"/>
      <c r="AE6" s="210"/>
      <c r="AF6" s="199"/>
      <c r="AG6" s="199"/>
      <c r="AH6" s="199"/>
      <c r="AI6" s="199"/>
      <c r="AJ6" s="199"/>
      <c r="AK6" s="199"/>
      <c r="AL6" s="199"/>
      <c r="AM6" s="199"/>
      <c r="AN6" s="199"/>
      <c r="AO6" s="199"/>
      <c r="AP6" s="228"/>
      <c r="AQ6" s="199"/>
    </row>
    <row r="7" spans="1:54">
      <c r="A7" s="199" t="str">
        <f t="shared" si="0"/>
        <v/>
      </c>
      <c r="B7" s="199"/>
      <c r="C7" s="199" t="str">
        <f>IF(O7="","",3)</f>
        <v/>
      </c>
      <c r="D7" s="227" t="str">
        <f>IF(O7="","",申請者情報入力シート!$H$3)</f>
        <v/>
      </c>
      <c r="E7" s="199" t="str">
        <f>IF(O7="","",IF(申請者情報入力シート!$H$7="",申請者情報入力シート!$H$4&amp;"　"&amp;申請者情報入力シート!$H$5,申請者情報入力シート!$H$7&amp;"　"&amp;申請者情報入力シート!$H$8))</f>
        <v/>
      </c>
      <c r="F7" s="199" t="str">
        <f>IF(O7="","",申請者情報入力シート!$H$4&amp;"　"&amp;申請者情報入力シート!$H$5)</f>
        <v/>
      </c>
      <c r="G7" s="199" t="str">
        <f>IF(O7="","",申請者情報入力シート!$H$6)</f>
        <v/>
      </c>
      <c r="H7" s="228"/>
      <c r="I7" s="228"/>
      <c r="J7" s="207"/>
      <c r="K7" s="207"/>
      <c r="L7" s="199" t="str">
        <f t="shared" si="1"/>
        <v/>
      </c>
      <c r="M7" s="208" t="str">
        <f>IF(O7="","",IF(集計シート!D128="","",集計シート!D128))</f>
        <v/>
      </c>
      <c r="N7" s="217" t="str">
        <f>IF(O7="","",IF(集計シート!B128="","",集計シート!B128))</f>
        <v/>
      </c>
      <c r="O7" s="216" t="str">
        <f>IF(集計シート!$C$113="基準器検査","",IF(集計シート!F128="","",集計シート!F128))</f>
        <v/>
      </c>
      <c r="P7" s="218" t="str">
        <f>IF(O7="","",分銅情報入力シート!$L$2)</f>
        <v/>
      </c>
      <c r="Q7" s="215" t="str">
        <f>IF(O7="","",IF(集計シート!G128="","",集計シート!G128))</f>
        <v/>
      </c>
      <c r="R7" s="233"/>
      <c r="S7" s="215" t="str">
        <f t="shared" si="2"/>
        <v/>
      </c>
      <c r="T7" s="215" t="str">
        <f>IF(O7="","",IF(申請者情報入力シート!$H$14="減免対象","免除",""))</f>
        <v/>
      </c>
      <c r="U7" s="232"/>
      <c r="V7" s="226" t="str">
        <f t="shared" si="3"/>
        <v/>
      </c>
      <c r="W7" s="225"/>
      <c r="X7" s="231"/>
      <c r="Y7" s="231">
        <f t="shared" si="4"/>
        <v>0</v>
      </c>
      <c r="Z7" s="210"/>
      <c r="AA7" s="210"/>
      <c r="AB7" s="210"/>
      <c r="AC7" s="210"/>
      <c r="AD7" s="210"/>
      <c r="AE7" s="210"/>
      <c r="AF7" s="199"/>
      <c r="AG7" s="199"/>
      <c r="AH7" s="199"/>
      <c r="AI7" s="199"/>
      <c r="AJ7" s="199"/>
      <c r="AK7" s="199"/>
      <c r="AL7" s="199"/>
      <c r="AM7" s="199"/>
      <c r="AN7" s="199"/>
      <c r="AO7" s="199"/>
      <c r="AP7" s="228"/>
      <c r="AQ7" s="199"/>
    </row>
    <row r="8" spans="1:54">
      <c r="A8" s="199" t="str">
        <f t="shared" si="0"/>
        <v/>
      </c>
      <c r="B8" s="199"/>
      <c r="C8" s="199" t="str">
        <f>IF(O8="","",4)</f>
        <v/>
      </c>
      <c r="D8" s="227" t="str">
        <f>IF(O8="","",申請者情報入力シート!$H$3)</f>
        <v/>
      </c>
      <c r="E8" s="199" t="str">
        <f>IF(O8="","",IF(申請者情報入力シート!$H$7="",申請者情報入力シート!$H$4&amp;"　"&amp;申請者情報入力シート!$H$5,申請者情報入力シート!$H$7&amp;"　"&amp;申請者情報入力シート!$H$8))</f>
        <v/>
      </c>
      <c r="F8" s="199" t="str">
        <f>IF(O8="","",申請者情報入力シート!$H$4&amp;"　"&amp;申請者情報入力シート!$H$5)</f>
        <v/>
      </c>
      <c r="G8" s="199" t="str">
        <f>IF(O8="","",申請者情報入力シート!$H$6)</f>
        <v/>
      </c>
      <c r="H8" s="228"/>
      <c r="I8" s="228"/>
      <c r="J8" s="207"/>
      <c r="K8" s="207"/>
      <c r="L8" s="199" t="str">
        <f t="shared" si="1"/>
        <v/>
      </c>
      <c r="M8" s="208" t="str">
        <f>IF(O8="","",IF(集計シート!D129="","",集計シート!D129))</f>
        <v/>
      </c>
      <c r="N8" s="217" t="str">
        <f>IF(O8="","",IF(集計シート!B129="","",集計シート!B129))</f>
        <v/>
      </c>
      <c r="O8" s="216" t="str">
        <f>IF(集計シート!$C$113="基準器検査","",IF(集計シート!F129="","",集計シート!F129))</f>
        <v/>
      </c>
      <c r="P8" s="218" t="str">
        <f>IF(O8="","",分銅情報入力シート!$L$2)</f>
        <v/>
      </c>
      <c r="Q8" s="215" t="str">
        <f>IF(O8="","",IF(集計シート!G129="","",集計シート!G129))</f>
        <v/>
      </c>
      <c r="R8" s="233"/>
      <c r="S8" s="215" t="str">
        <f t="shared" si="2"/>
        <v/>
      </c>
      <c r="T8" s="215" t="str">
        <f>IF(O8="","",IF(申請者情報入力シート!$H$14="減免対象","免除",""))</f>
        <v/>
      </c>
      <c r="U8" s="232"/>
      <c r="V8" s="226" t="str">
        <f t="shared" si="3"/>
        <v/>
      </c>
      <c r="W8" s="225"/>
      <c r="X8" s="231"/>
      <c r="Y8" s="231">
        <f t="shared" si="4"/>
        <v>0</v>
      </c>
      <c r="Z8" s="210"/>
      <c r="AA8" s="210"/>
      <c r="AB8" s="210"/>
      <c r="AC8" s="210"/>
      <c r="AD8" s="210"/>
      <c r="AE8" s="210"/>
      <c r="AF8" s="199"/>
      <c r="AG8" s="199"/>
      <c r="AH8" s="199"/>
      <c r="AI8" s="199"/>
      <c r="AJ8" s="199"/>
      <c r="AK8" s="199"/>
      <c r="AL8" s="199"/>
      <c r="AM8" s="199"/>
      <c r="AN8" s="199"/>
      <c r="AO8" s="199"/>
      <c r="AP8" s="228"/>
      <c r="AQ8" s="199"/>
    </row>
    <row r="9" spans="1:54">
      <c r="A9" s="199" t="str">
        <f t="shared" si="0"/>
        <v/>
      </c>
      <c r="B9" s="199"/>
      <c r="C9" s="199" t="str">
        <f>IF(O9="","",5)</f>
        <v/>
      </c>
      <c r="D9" s="227" t="str">
        <f>IF(O9="","",申請者情報入力シート!$H$3)</f>
        <v/>
      </c>
      <c r="E9" s="199" t="str">
        <f>IF(O9="","",IF(申請者情報入力シート!$H$7="",申請者情報入力シート!$H$4&amp;"　"&amp;申請者情報入力シート!$H$5,申請者情報入力シート!$H$7&amp;"　"&amp;申請者情報入力シート!$H$8))</f>
        <v/>
      </c>
      <c r="F9" s="199" t="str">
        <f>IF(O9="","",申請者情報入力シート!$H$4&amp;"　"&amp;申請者情報入力シート!$H$5)</f>
        <v/>
      </c>
      <c r="G9" s="199" t="str">
        <f>IF(O9="","",申請者情報入力シート!$H$6)</f>
        <v/>
      </c>
      <c r="H9" s="228"/>
      <c r="I9" s="228"/>
      <c r="J9" s="207"/>
      <c r="K9" s="207"/>
      <c r="L9" s="199" t="str">
        <f t="shared" si="1"/>
        <v/>
      </c>
      <c r="M9" s="208" t="str">
        <f>IF(O9="","",IF(集計シート!D130="","",集計シート!D130))</f>
        <v/>
      </c>
      <c r="N9" s="217" t="str">
        <f>IF(O9="","",IF(集計シート!B130="","",集計シート!B130))</f>
        <v/>
      </c>
      <c r="O9" s="216" t="str">
        <f>IF(集計シート!$C$113="基準器検査","",IF(集計シート!F130="","",集計シート!F130))</f>
        <v/>
      </c>
      <c r="P9" s="218" t="str">
        <f>IF(O9="","",分銅情報入力シート!$L$2)</f>
        <v/>
      </c>
      <c r="Q9" s="215" t="str">
        <f>IF(O9="","",IF(集計シート!G130="","",集計シート!G130))</f>
        <v/>
      </c>
      <c r="R9" s="233"/>
      <c r="S9" s="215" t="str">
        <f t="shared" si="2"/>
        <v/>
      </c>
      <c r="T9" s="215" t="str">
        <f>IF(O9="","",IF(申請者情報入力シート!$H$14="減免対象","免除",""))</f>
        <v/>
      </c>
      <c r="U9" s="232"/>
      <c r="V9" s="226" t="str">
        <f t="shared" si="3"/>
        <v/>
      </c>
      <c r="W9" s="225"/>
      <c r="X9" s="231"/>
      <c r="Y9" s="231">
        <f t="shared" si="4"/>
        <v>0</v>
      </c>
      <c r="Z9" s="210"/>
      <c r="AA9" s="210"/>
      <c r="AB9" s="210"/>
      <c r="AC9" s="210"/>
      <c r="AD9" s="210"/>
      <c r="AE9" s="210"/>
      <c r="AF9" s="199"/>
      <c r="AG9" s="199"/>
      <c r="AH9" s="199"/>
      <c r="AI9" s="199"/>
      <c r="AJ9" s="199"/>
      <c r="AK9" s="199"/>
      <c r="AL9" s="199"/>
      <c r="AM9" s="199"/>
      <c r="AN9" s="199"/>
      <c r="AO9" s="199"/>
      <c r="AP9" s="228"/>
      <c r="AQ9" s="199"/>
    </row>
    <row r="10" spans="1:54">
      <c r="A10" s="199" t="str">
        <f t="shared" si="0"/>
        <v/>
      </c>
      <c r="B10" s="199"/>
      <c r="C10" s="199" t="str">
        <f>IF(O10="","",6)</f>
        <v/>
      </c>
      <c r="D10" s="227" t="str">
        <f>IF(O10="","",申請者情報入力シート!$H$3)</f>
        <v/>
      </c>
      <c r="E10" s="199" t="str">
        <f>IF(O10="","",IF(申請者情報入力シート!$H$7="",申請者情報入力シート!$H$4&amp;"　"&amp;申請者情報入力シート!$H$5,申請者情報入力シート!$H$7&amp;"　"&amp;申請者情報入力シート!$H$8))</f>
        <v/>
      </c>
      <c r="F10" s="199" t="str">
        <f>IF(O10="","",申請者情報入力シート!$H$4&amp;"　"&amp;申請者情報入力シート!$H$5)</f>
        <v/>
      </c>
      <c r="G10" s="199" t="str">
        <f>IF(O10="","",申請者情報入力シート!$H$6)</f>
        <v/>
      </c>
      <c r="H10" s="228"/>
      <c r="I10" s="228"/>
      <c r="J10" s="207"/>
      <c r="K10" s="207"/>
      <c r="L10" s="199" t="str">
        <f t="shared" si="1"/>
        <v/>
      </c>
      <c r="M10" s="208" t="str">
        <f>IF(O10="","",IF(集計シート!D131="","",集計シート!D131))</f>
        <v/>
      </c>
      <c r="N10" s="217" t="str">
        <f>IF(O10="","",IF(集計シート!B131="","",集計シート!B131))</f>
        <v/>
      </c>
      <c r="O10" s="216" t="str">
        <f>IF(集計シート!$C$113="基準器検査","",IF(集計シート!F131="","",集計シート!F131))</f>
        <v/>
      </c>
      <c r="P10" s="218" t="str">
        <f>IF(O10="","",分銅情報入力シート!$L$2)</f>
        <v/>
      </c>
      <c r="Q10" s="215" t="str">
        <f>IF(O10="","",IF(集計シート!G131="","",集計シート!G131))</f>
        <v/>
      </c>
      <c r="R10" s="233"/>
      <c r="S10" s="215" t="str">
        <f t="shared" si="2"/>
        <v/>
      </c>
      <c r="T10" s="215" t="str">
        <f>IF(O10="","",IF(申請者情報入力シート!$H$14="減免対象","免除",""))</f>
        <v/>
      </c>
      <c r="U10" s="232"/>
      <c r="V10" s="226" t="str">
        <f t="shared" si="3"/>
        <v/>
      </c>
      <c r="W10" s="225"/>
      <c r="X10" s="231"/>
      <c r="Y10" s="231">
        <f t="shared" si="4"/>
        <v>0</v>
      </c>
      <c r="Z10" s="210"/>
      <c r="AA10" s="210"/>
      <c r="AB10" s="210"/>
      <c r="AC10" s="210"/>
      <c r="AD10" s="210"/>
      <c r="AE10" s="210"/>
      <c r="AF10" s="199"/>
      <c r="AG10" s="199"/>
      <c r="AH10" s="199"/>
      <c r="AI10" s="199"/>
      <c r="AJ10" s="199"/>
      <c r="AK10" s="199"/>
      <c r="AL10" s="199"/>
      <c r="AM10" s="199"/>
      <c r="AN10" s="199"/>
      <c r="AO10" s="199"/>
      <c r="AP10" s="228"/>
      <c r="AQ10" s="199"/>
    </row>
    <row r="11" spans="1:54">
      <c r="Z11" s="207" t="s">
        <v>317</v>
      </c>
      <c r="AA11" s="207" t="s">
        <v>318</v>
      </c>
      <c r="AB11" s="207" t="s">
        <v>319</v>
      </c>
      <c r="AC11" s="207" t="s">
        <v>320</v>
      </c>
      <c r="AD11" s="207" t="s">
        <v>321</v>
      </c>
      <c r="AE11" s="207" t="s">
        <v>322</v>
      </c>
    </row>
    <row r="12" spans="1:54" ht="24" customHeight="1">
      <c r="B12" s="318"/>
      <c r="C12" s="318"/>
      <c r="D12" s="318"/>
      <c r="E12" s="5"/>
    </row>
    <row r="14" spans="1:54">
      <c r="AX14" s="199" t="s">
        <v>292</v>
      </c>
      <c r="AY14" s="199"/>
      <c r="BB14" t="s">
        <v>293</v>
      </c>
    </row>
    <row r="15" spans="1:54">
      <c r="AX15" s="199" t="s">
        <v>295</v>
      </c>
      <c r="AY15" s="199" t="s">
        <v>296</v>
      </c>
      <c r="AZ15" s="199" t="s">
        <v>297</v>
      </c>
      <c r="BB15" s="199" t="s">
        <v>298</v>
      </c>
    </row>
    <row r="16" spans="1:54">
      <c r="AX16" s="199" t="s">
        <v>245</v>
      </c>
      <c r="AY16" s="199">
        <v>3200</v>
      </c>
      <c r="AZ16" s="199">
        <v>1250</v>
      </c>
      <c r="BB16" s="199" t="s">
        <v>299</v>
      </c>
    </row>
    <row r="17" spans="50:55">
      <c r="AX17" s="199" t="s">
        <v>246</v>
      </c>
      <c r="AY17" s="199">
        <v>7900</v>
      </c>
      <c r="AZ17" s="199">
        <v>2950</v>
      </c>
      <c r="BB17" s="199" t="s">
        <v>301</v>
      </c>
    </row>
    <row r="18" spans="50:55">
      <c r="AX18" s="199" t="s">
        <v>247</v>
      </c>
      <c r="AY18" s="199">
        <v>640</v>
      </c>
      <c r="AZ18" s="199">
        <v>330</v>
      </c>
      <c r="BB18" s="199" t="s">
        <v>302</v>
      </c>
    </row>
    <row r="19" spans="50:55">
      <c r="AX19" s="199" t="s">
        <v>248</v>
      </c>
      <c r="AY19" s="199">
        <v>780</v>
      </c>
      <c r="AZ19" s="199">
        <v>330</v>
      </c>
      <c r="BB19" s="199" t="s">
        <v>303</v>
      </c>
    </row>
    <row r="20" spans="50:55">
      <c r="AX20" s="199" t="s">
        <v>249</v>
      </c>
      <c r="AY20" s="199">
        <v>8800</v>
      </c>
      <c r="AZ20" s="199">
        <v>2350</v>
      </c>
      <c r="BB20" s="199" t="s">
        <v>304</v>
      </c>
    </row>
    <row r="21" spans="50:55">
      <c r="AX21" s="199" t="s">
        <v>250</v>
      </c>
      <c r="AY21" s="199">
        <v>480</v>
      </c>
      <c r="AZ21" s="199">
        <v>290</v>
      </c>
      <c r="BB21" s="206" t="s">
        <v>300</v>
      </c>
    </row>
    <row r="22" spans="50:55">
      <c r="AX22" s="199" t="s">
        <v>251</v>
      </c>
      <c r="AY22" s="199">
        <v>650</v>
      </c>
      <c r="AZ22" s="199">
        <v>290</v>
      </c>
      <c r="BB22" s="209" t="s">
        <v>283</v>
      </c>
    </row>
    <row r="23" spans="50:55">
      <c r="AX23" s="199" t="s">
        <v>252</v>
      </c>
      <c r="AY23" s="199">
        <v>7100</v>
      </c>
      <c r="AZ23" s="199">
        <v>1750</v>
      </c>
      <c r="BB23" s="209" t="s">
        <v>284</v>
      </c>
    </row>
    <row r="24" spans="50:55">
      <c r="AX24" s="206" t="s">
        <v>305</v>
      </c>
      <c r="BB24" s="209" t="s">
        <v>285</v>
      </c>
    </row>
    <row r="25" spans="50:55">
      <c r="AX25" s="199" t="s">
        <v>286</v>
      </c>
      <c r="BB25" s="211" t="s">
        <v>244</v>
      </c>
      <c r="BC25" s="205"/>
    </row>
    <row r="26" spans="50:55">
      <c r="AX26" s="212" t="s">
        <v>287</v>
      </c>
      <c r="BB26" s="211" t="s">
        <v>309</v>
      </c>
      <c r="BC26" s="205"/>
    </row>
    <row r="27" spans="50:55">
      <c r="AX27" s="213" t="s">
        <v>288</v>
      </c>
      <c r="BB27" s="211" t="s">
        <v>310</v>
      </c>
      <c r="BC27" s="205"/>
    </row>
    <row r="28" spans="50:55">
      <c r="AX28" s="213" t="s">
        <v>289</v>
      </c>
      <c r="BB28" s="211" t="s">
        <v>311</v>
      </c>
      <c r="BC28" s="205"/>
    </row>
    <row r="29" spans="50:55">
      <c r="AX29" s="214"/>
      <c r="BB29" s="211" t="s">
        <v>312</v>
      </c>
      <c r="BC29" s="205"/>
    </row>
    <row r="30" spans="50:55">
      <c r="BB30" s="211" t="s">
        <v>313</v>
      </c>
      <c r="BC30" s="205"/>
    </row>
    <row r="31" spans="50:55">
      <c r="BB31" s="211" t="s">
        <v>314</v>
      </c>
      <c r="BC31" s="205"/>
    </row>
    <row r="32" spans="50:55">
      <c r="BB32" s="2" t="s">
        <v>315</v>
      </c>
      <c r="BC32" s="205"/>
    </row>
    <row r="33" spans="54:55">
      <c r="BB33" s="2" t="s">
        <v>316</v>
      </c>
      <c r="BC33" s="205"/>
    </row>
  </sheetData>
  <sheetProtection password="E95D" sheet="1" objects="1" scenarios="1" selectLockedCells="1"/>
  <mergeCells count="38">
    <mergeCell ref="B1:D1"/>
    <mergeCell ref="B12:D12"/>
    <mergeCell ref="A2:U2"/>
    <mergeCell ref="Q3:Q4"/>
    <mergeCell ref="R3:R4"/>
    <mergeCell ref="S3:S4"/>
    <mergeCell ref="T3:T4"/>
    <mergeCell ref="U3:U4"/>
    <mergeCell ref="K3:K4"/>
    <mergeCell ref="V2:AQ2"/>
    <mergeCell ref="A3:A4"/>
    <mergeCell ref="B3:B4"/>
    <mergeCell ref="C3:C4"/>
    <mergeCell ref="D3:D4"/>
    <mergeCell ref="E3:E4"/>
    <mergeCell ref="F3:F4"/>
    <mergeCell ref="G3:G4"/>
    <mergeCell ref="H3:H4"/>
    <mergeCell ref="O3:O4"/>
    <mergeCell ref="I3:I4"/>
    <mergeCell ref="J3:J4"/>
    <mergeCell ref="L3:L4"/>
    <mergeCell ref="M3:M4"/>
    <mergeCell ref="N3:N4"/>
    <mergeCell ref="P3:P4"/>
    <mergeCell ref="AO3:AO4"/>
    <mergeCell ref="AP3:AP4"/>
    <mergeCell ref="AQ3:AQ4"/>
    <mergeCell ref="AJ3:AJ4"/>
    <mergeCell ref="AK3:AK4"/>
    <mergeCell ref="AL3:AL4"/>
    <mergeCell ref="AM3:AM4"/>
    <mergeCell ref="AN3:AN4"/>
    <mergeCell ref="V3:V4"/>
    <mergeCell ref="W3:W4"/>
    <mergeCell ref="X3:X4"/>
    <mergeCell ref="Y3:Y4"/>
    <mergeCell ref="Z3:AI3"/>
  </mergeCells>
  <phoneticPr fontId="1"/>
  <dataValidations count="1">
    <dataValidation type="list" allowBlank="1" showInputMessage="1" showErrorMessage="1" sqref="AA5:AA10" xr:uid="{00000000-0002-0000-0400-000000000000}">
      <formula1>$BB$15:$BB$19</formula1>
    </dataValidation>
  </dataValidation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sheetPr>
  <dimension ref="B1:J36"/>
  <sheetViews>
    <sheetView showGridLines="0" view="pageBreakPreview" zoomScaleNormal="100" zoomScaleSheetLayoutView="100" workbookViewId="0"/>
  </sheetViews>
  <sheetFormatPr defaultRowHeight="18.75"/>
  <cols>
    <col min="1" max="2" width="2.125" customWidth="1"/>
    <col min="3" max="3" width="19" customWidth="1"/>
    <col min="4" max="4" width="5.125" customWidth="1"/>
    <col min="5" max="5" width="6.125" customWidth="1"/>
    <col min="6" max="6" width="8.75" customWidth="1"/>
    <col min="7" max="7" width="9.75" customWidth="1"/>
    <col min="8" max="8" width="12.625" customWidth="1"/>
    <col min="9" max="9" width="24.625" customWidth="1"/>
    <col min="10" max="10" width="1.5" customWidth="1"/>
  </cols>
  <sheetData>
    <row r="1" spans="2:10" ht="13.5" customHeight="1">
      <c r="B1" s="348" t="s">
        <v>30</v>
      </c>
      <c r="C1" s="348"/>
      <c r="D1" s="348"/>
      <c r="E1" s="348"/>
      <c r="F1" s="348"/>
      <c r="G1" s="348"/>
      <c r="H1" s="348"/>
      <c r="I1" s="348"/>
      <c r="J1" s="6"/>
    </row>
    <row r="2" spans="2:10" ht="13.5" customHeight="1">
      <c r="B2" s="349" t="s">
        <v>31</v>
      </c>
      <c r="C2" s="349"/>
      <c r="D2" s="349"/>
      <c r="E2" s="349"/>
      <c r="F2" s="349"/>
      <c r="G2" s="349"/>
      <c r="H2" s="349"/>
      <c r="I2" s="349"/>
      <c r="J2" s="349"/>
    </row>
    <row r="3" spans="2:10" ht="20.100000000000001" customHeight="1">
      <c r="B3" s="7"/>
      <c r="C3" s="8"/>
      <c r="D3" s="8"/>
      <c r="E3" s="8"/>
      <c r="F3" s="8"/>
      <c r="G3" s="8"/>
      <c r="H3" s="8"/>
      <c r="I3" s="9"/>
      <c r="J3" s="10"/>
    </row>
    <row r="4" spans="2:10" ht="20.100000000000001" customHeight="1">
      <c r="B4" s="11"/>
      <c r="C4" s="350" t="s">
        <v>32</v>
      </c>
      <c r="D4" s="350"/>
      <c r="E4" s="350"/>
      <c r="F4" s="350"/>
      <c r="G4" s="350"/>
      <c r="H4" s="350"/>
      <c r="I4" s="350"/>
      <c r="J4" s="12"/>
    </row>
    <row r="5" spans="2:10" ht="20.100000000000001" customHeight="1">
      <c r="B5" s="11"/>
      <c r="C5" s="329"/>
      <c r="D5" s="329"/>
      <c r="E5" s="329"/>
      <c r="F5" s="329"/>
      <c r="G5" s="329"/>
      <c r="H5" s="329"/>
      <c r="I5" s="329"/>
      <c r="J5" s="13"/>
    </row>
    <row r="6" spans="2:10" ht="20.100000000000001" customHeight="1">
      <c r="B6" s="11"/>
      <c r="C6" s="329" t="s">
        <v>33</v>
      </c>
      <c r="D6" s="329"/>
      <c r="E6" s="329"/>
      <c r="F6" s="329"/>
      <c r="G6" s="329"/>
      <c r="H6" s="329"/>
      <c r="I6" s="329"/>
      <c r="J6" s="13"/>
    </row>
    <row r="7" spans="2:10" ht="20.100000000000001" customHeight="1" thickBot="1">
      <c r="B7" s="11"/>
      <c r="C7" s="329"/>
      <c r="D7" s="329"/>
      <c r="E7" s="329"/>
      <c r="F7" s="329"/>
      <c r="G7" s="329"/>
      <c r="H7" s="329"/>
      <c r="I7" s="329"/>
      <c r="J7" s="13"/>
    </row>
    <row r="8" spans="2:10" ht="20.100000000000001" customHeight="1" thickTop="1">
      <c r="B8" s="11"/>
      <c r="C8" s="329"/>
      <c r="D8" s="330"/>
      <c r="E8" s="14"/>
      <c r="F8" s="14"/>
      <c r="G8" s="14"/>
      <c r="H8" s="14"/>
      <c r="I8" s="236">
        <f>申請者情報入力シート!H3</f>
        <v>0</v>
      </c>
      <c r="J8" s="15"/>
    </row>
    <row r="9" spans="2:10" ht="20.100000000000001" customHeight="1">
      <c r="B9" s="11"/>
      <c r="C9" s="329"/>
      <c r="D9" s="330"/>
      <c r="E9" s="338" t="s">
        <v>34</v>
      </c>
      <c r="F9" s="339"/>
      <c r="G9" s="339"/>
      <c r="H9" s="16"/>
      <c r="I9" s="17"/>
      <c r="J9" s="13"/>
    </row>
    <row r="10" spans="2:10" s="5" customFormat="1" ht="20.100000000000001" customHeight="1">
      <c r="B10" s="18"/>
      <c r="C10" s="329"/>
      <c r="D10" s="330"/>
      <c r="E10" s="340" t="s">
        <v>35</v>
      </c>
      <c r="F10" s="341"/>
      <c r="G10" s="342">
        <f>IF(申請者情報入力シート!H7="",申請者情報入力シート!H6,申請者情報入力シート!H9)</f>
        <v>0</v>
      </c>
      <c r="H10" s="342"/>
      <c r="I10" s="343"/>
      <c r="J10" s="19"/>
    </row>
    <row r="11" spans="2:10" ht="7.5" customHeight="1">
      <c r="B11" s="11"/>
      <c r="C11" s="329"/>
      <c r="D11" s="330"/>
      <c r="E11" s="329"/>
      <c r="F11" s="329"/>
      <c r="G11" s="329"/>
      <c r="H11" s="329"/>
      <c r="I11" s="330"/>
      <c r="J11" s="13"/>
    </row>
    <row r="12" spans="2:10" ht="20.100000000000001" customHeight="1">
      <c r="B12" s="11"/>
      <c r="C12" s="329"/>
      <c r="D12" s="330"/>
      <c r="E12" s="340" t="s">
        <v>36</v>
      </c>
      <c r="F12" s="341"/>
      <c r="G12" s="342">
        <f>IF(申請者情報入力シート!H7="",申請者情報入力シート!H4,申請者情報入力シート!H7)</f>
        <v>0</v>
      </c>
      <c r="H12" s="342"/>
      <c r="I12" s="343"/>
      <c r="J12" s="13"/>
    </row>
    <row r="13" spans="2:10" ht="20.100000000000001" customHeight="1">
      <c r="B13" s="11"/>
      <c r="C13" s="329"/>
      <c r="D13" s="330"/>
      <c r="E13" s="69"/>
      <c r="F13" s="69"/>
      <c r="G13" s="342" t="str">
        <f>IF(申請者情報入力シート!H7="",IF(申請者情報入力シート!H5="","",申請者情報入力シート!H5),IF(申請者情報入力シート!H8="","",申請者情報入力シート!H8))</f>
        <v/>
      </c>
      <c r="H13" s="342"/>
      <c r="I13" s="343"/>
      <c r="J13" s="13"/>
    </row>
    <row r="14" spans="2:10" ht="7.5" customHeight="1">
      <c r="B14" s="11"/>
      <c r="C14" s="329"/>
      <c r="D14" s="330"/>
      <c r="E14" s="329"/>
      <c r="F14" s="329"/>
      <c r="G14" s="329"/>
      <c r="H14" s="329"/>
      <c r="I14" s="330"/>
      <c r="J14" s="13"/>
    </row>
    <row r="15" spans="2:10" ht="20.100000000000001" customHeight="1" thickBot="1">
      <c r="B15" s="11"/>
      <c r="C15" s="336"/>
      <c r="D15" s="337"/>
      <c r="E15" s="344" t="s">
        <v>37</v>
      </c>
      <c r="F15" s="345"/>
      <c r="G15" s="346">
        <f>申請者情報入力シート!H13</f>
        <v>0</v>
      </c>
      <c r="H15" s="346"/>
      <c r="I15" s="347"/>
      <c r="J15" s="13"/>
    </row>
    <row r="16" spans="2:10" ht="20.100000000000001" customHeight="1" thickTop="1">
      <c r="B16" s="20"/>
      <c r="C16" s="329"/>
      <c r="D16" s="329"/>
      <c r="E16" s="329"/>
      <c r="F16" s="329"/>
      <c r="G16" s="329"/>
      <c r="H16" s="329"/>
      <c r="I16" s="330"/>
      <c r="J16" s="13"/>
    </row>
    <row r="17" spans="2:10" ht="20.100000000000001" customHeight="1">
      <c r="B17" s="20"/>
      <c r="C17" s="329" t="s">
        <v>38</v>
      </c>
      <c r="D17" s="329"/>
      <c r="E17" s="329"/>
      <c r="F17" s="329"/>
      <c r="G17" s="329"/>
      <c r="H17" s="329"/>
      <c r="I17" s="330"/>
      <c r="J17" s="13"/>
    </row>
    <row r="18" spans="2:10" ht="20.100000000000001" customHeight="1">
      <c r="B18" s="20"/>
      <c r="C18" s="329"/>
      <c r="D18" s="329"/>
      <c r="E18" s="329"/>
      <c r="F18" s="329"/>
      <c r="G18" s="329"/>
      <c r="H18" s="329"/>
      <c r="I18" s="330"/>
      <c r="J18" s="13"/>
    </row>
    <row r="19" spans="2:10" ht="20.100000000000001" customHeight="1">
      <c r="B19" s="20"/>
      <c r="C19" s="331" t="s">
        <v>39</v>
      </c>
      <c r="D19" s="331"/>
      <c r="E19" s="331"/>
      <c r="F19" s="331"/>
      <c r="G19" s="331"/>
      <c r="H19" s="331"/>
      <c r="I19" s="332"/>
      <c r="J19" s="13"/>
    </row>
    <row r="20" spans="2:10" ht="20.100000000000001" customHeight="1" thickBot="1">
      <c r="B20" s="20"/>
      <c r="C20" s="21"/>
      <c r="D20" s="22"/>
      <c r="E20" s="22"/>
      <c r="F20" s="22"/>
      <c r="G20" s="22"/>
      <c r="H20" s="22"/>
      <c r="I20" s="23"/>
      <c r="J20" s="24"/>
    </row>
    <row r="21" spans="2:10" ht="20.100000000000001" customHeight="1">
      <c r="B21" s="20"/>
      <c r="C21" s="25" t="s">
        <v>40</v>
      </c>
      <c r="D21" s="333" t="s">
        <v>41</v>
      </c>
      <c r="E21" s="333"/>
      <c r="F21" s="26" t="s">
        <v>42</v>
      </c>
      <c r="G21" s="26" t="s">
        <v>43</v>
      </c>
      <c r="H21" s="27" t="s">
        <v>44</v>
      </c>
      <c r="I21" s="28" t="s">
        <v>45</v>
      </c>
      <c r="J21" s="29"/>
    </row>
    <row r="22" spans="2:10" ht="30" customHeight="1">
      <c r="B22" s="20"/>
      <c r="C22" s="89" t="str">
        <f>IF(集計シート!$D$75&gt;0,集計シート!$B$1&amp;"："&amp;集計シート!B80,"")</f>
        <v/>
      </c>
      <c r="D22" s="334" t="str">
        <f>IF(集計シート!$D$75&gt;0,分銅情報入力シート!$E$3,"")</f>
        <v/>
      </c>
      <c r="E22" s="334"/>
      <c r="F22" s="31" t="str">
        <f>IF(集計シート!$D$75&gt;0,集計シート!D80,"")</f>
        <v/>
      </c>
      <c r="G22" s="80" t="str">
        <f>IF(集計シート!$D$75&gt;0,IF(申請者情報入力シート!$H$14="減免対象","減免",集計シート!E80),"")</f>
        <v/>
      </c>
      <c r="H22" s="81" t="str">
        <f>IF(F22="","",IF(申請者情報入力シート!$H$14="減免対象","減免",F22*G22))</f>
        <v/>
      </c>
      <c r="I22" s="32"/>
      <c r="J22" s="13"/>
    </row>
    <row r="23" spans="2:10" ht="30" customHeight="1">
      <c r="B23" s="20"/>
      <c r="C23" s="89" t="str">
        <f>IF(集計シート!$D$75&gt;1,集計シート!$B$1&amp;"："&amp;集計シート!B81,"")</f>
        <v/>
      </c>
      <c r="D23" s="334" t="str">
        <f>IF(集計シート!$D$75&gt;1,分銅情報入力シート!$E$3,"")</f>
        <v/>
      </c>
      <c r="E23" s="334"/>
      <c r="F23" s="31" t="str">
        <f>IF(集計シート!$D$75&gt;1,集計シート!D81,"")</f>
        <v/>
      </c>
      <c r="G23" s="80" t="str">
        <f>IF(集計シート!$D$75&gt;1,IF(申請者情報入力シート!$H$14="減免対象","減免",集計シート!E81),"")</f>
        <v/>
      </c>
      <c r="H23" s="81" t="str">
        <f>IF(F23="","",IF(申請者情報入力シート!$H$14="減免対象","減免",F23*G23))</f>
        <v/>
      </c>
      <c r="I23" s="32"/>
      <c r="J23" s="13"/>
    </row>
    <row r="24" spans="2:10" ht="30" customHeight="1">
      <c r="B24" s="20"/>
      <c r="C24" s="89" t="str">
        <f>IF(集計シート!$D$75&gt;2,集計シート!$B$1&amp;"："&amp;集計シート!B82,"")</f>
        <v/>
      </c>
      <c r="D24" s="334" t="str">
        <f>IF(集計シート!$D$75&gt;2,分銅情報入力シート!$E$3,"")</f>
        <v/>
      </c>
      <c r="E24" s="334"/>
      <c r="F24" s="31" t="str">
        <f>IF(集計シート!$D$75&gt;2,集計シート!D82,"")</f>
        <v/>
      </c>
      <c r="G24" s="80" t="str">
        <f>IF(集計シート!$D$75&gt;2,IF(申請者情報入力シート!$H$14="減免対象","減免",集計シート!E82),"")</f>
        <v/>
      </c>
      <c r="H24" s="81" t="str">
        <f>IF(F24="","",IF(申請者情報入力シート!$H$14="減免対象","減免",F24*G24))</f>
        <v/>
      </c>
      <c r="I24" s="32"/>
      <c r="J24" s="13"/>
    </row>
    <row r="25" spans="2:10" ht="30" customHeight="1">
      <c r="B25" s="20"/>
      <c r="C25" s="89" t="str">
        <f>IF(集計シート!$D$75&gt;3,集計シート!$B$1&amp;"："&amp;集計シート!B83,"")</f>
        <v/>
      </c>
      <c r="D25" s="334" t="str">
        <f>IF(集計シート!$D$75&gt;3,分銅情報入力シート!$E$3,"")</f>
        <v/>
      </c>
      <c r="E25" s="334"/>
      <c r="F25" s="31" t="str">
        <f>IF(集計シート!$D$75&gt;3,集計シート!D83,"")</f>
        <v/>
      </c>
      <c r="G25" s="80" t="str">
        <f>IF(集計シート!$D$75&gt;3,IF(申請者情報入力シート!$H$14="減免対象","減免",集計シート!E83),"")</f>
        <v/>
      </c>
      <c r="H25" s="81" t="str">
        <f>IF(F25="","",IF(申請者情報入力シート!$H$14="減免対象","減免",F25*G25))</f>
        <v/>
      </c>
      <c r="I25" s="32"/>
      <c r="J25" s="13"/>
    </row>
    <row r="26" spans="2:10" ht="30" customHeight="1">
      <c r="B26" s="20"/>
      <c r="C26" s="89" t="str">
        <f>IF(集計シート!$D$75&gt;4,集計シート!$B$1&amp;"："&amp;集計シート!B84,"")</f>
        <v/>
      </c>
      <c r="D26" s="334" t="str">
        <f>IF(集計シート!$D$75&gt;4,分銅情報入力シート!$E$3,"")</f>
        <v/>
      </c>
      <c r="E26" s="334"/>
      <c r="F26" s="31" t="str">
        <f>IF(集計シート!$D$75&gt;4,集計シート!D84,"")</f>
        <v/>
      </c>
      <c r="G26" s="80" t="str">
        <f>IF(集計シート!$D$75&gt;4,IF(申請者情報入力シート!$H$14="減免対象","減免",集計シート!E84),"")</f>
        <v/>
      </c>
      <c r="H26" s="81" t="str">
        <f>IF(F26="","",IF(申請者情報入力シート!$H$14="減免対象","減免",F26*G26))</f>
        <v/>
      </c>
      <c r="I26" s="32"/>
      <c r="J26" s="13"/>
    </row>
    <row r="27" spans="2:10" ht="30" customHeight="1">
      <c r="B27" s="20"/>
      <c r="C27" s="89" t="str">
        <f>IF(集計シート!$D$75&gt;5,集計シート!$B$1&amp;"："&amp;集計シート!B85,"")</f>
        <v/>
      </c>
      <c r="D27" s="335" t="str">
        <f>IF(集計シート!$D$75&gt;5,分銅情報入力シート!$E$3,"")</f>
        <v/>
      </c>
      <c r="E27" s="335"/>
      <c r="F27" s="31" t="str">
        <f>IF(集計シート!$D$75&gt;5,集計シート!D85,"")</f>
        <v/>
      </c>
      <c r="G27" s="80" t="str">
        <f>IF(集計シート!$D$75&gt;5,IF(申請者情報入力シート!$H$14="減免対象","減免",集計シート!E85),"")</f>
        <v/>
      </c>
      <c r="H27" s="81" t="str">
        <f>IF(F27="","",IF(申請者情報入力シート!$H$14="減免対象","減免",F27*G27))</f>
        <v/>
      </c>
      <c r="I27" s="32"/>
      <c r="J27" s="13"/>
    </row>
    <row r="28" spans="2:10" ht="30" customHeight="1">
      <c r="B28" s="20"/>
      <c r="C28" s="110"/>
      <c r="D28" s="324"/>
      <c r="E28" s="324"/>
      <c r="F28" s="34"/>
      <c r="G28" s="82"/>
      <c r="H28" s="83"/>
      <c r="I28" s="32"/>
      <c r="J28" s="13"/>
    </row>
    <row r="29" spans="2:10" ht="30" customHeight="1">
      <c r="B29" s="20"/>
      <c r="C29" s="110"/>
      <c r="D29" s="324"/>
      <c r="E29" s="324"/>
      <c r="F29" s="34"/>
      <c r="G29" s="82"/>
      <c r="H29" s="83"/>
      <c r="I29" s="32"/>
      <c r="J29" s="13"/>
    </row>
    <row r="30" spans="2:10" ht="30" customHeight="1">
      <c r="B30" s="20"/>
      <c r="C30" s="110"/>
      <c r="D30" s="324"/>
      <c r="E30" s="324"/>
      <c r="F30" s="34"/>
      <c r="G30" s="82"/>
      <c r="H30" s="83"/>
      <c r="I30" s="32"/>
      <c r="J30" s="13"/>
    </row>
    <row r="31" spans="2:10" ht="30" customHeight="1">
      <c r="B31" s="20"/>
      <c r="C31" s="110"/>
      <c r="D31" s="324"/>
      <c r="E31" s="324"/>
      <c r="F31" s="34"/>
      <c r="G31" s="82"/>
      <c r="H31" s="83"/>
      <c r="I31" s="32"/>
      <c r="J31" s="13"/>
    </row>
    <row r="32" spans="2:10" ht="30" customHeight="1" thickBot="1">
      <c r="B32" s="20"/>
      <c r="C32" s="325" t="s">
        <v>46</v>
      </c>
      <c r="D32" s="326"/>
      <c r="E32" s="326"/>
      <c r="F32" s="36">
        <f>SUM(F22:F31)</f>
        <v>0</v>
      </c>
      <c r="G32" s="37"/>
      <c r="H32" s="96">
        <f>IF(申請者情報入力シート!$H$14="減免対象","減免",SUM(H22:H31))</f>
        <v>0</v>
      </c>
      <c r="I32" s="38"/>
      <c r="J32" s="19"/>
    </row>
    <row r="33" spans="2:10" ht="14.25" customHeight="1" thickTop="1">
      <c r="B33" s="11"/>
      <c r="C33" s="327" t="s">
        <v>47</v>
      </c>
      <c r="D33" s="327"/>
      <c r="E33" s="327"/>
      <c r="F33" s="327"/>
      <c r="G33" s="327"/>
      <c r="H33" s="327"/>
      <c r="I33" s="327"/>
      <c r="J33" s="39"/>
    </row>
    <row r="34" spans="2:10" ht="14.25" customHeight="1">
      <c r="B34" s="11"/>
      <c r="C34" s="328" t="s">
        <v>48</v>
      </c>
      <c r="D34" s="328"/>
      <c r="E34" s="328"/>
      <c r="F34" s="328"/>
      <c r="G34" s="328"/>
      <c r="H34" s="328"/>
      <c r="I34" s="328"/>
      <c r="J34" s="39"/>
    </row>
    <row r="35" spans="2:10" ht="14.25" customHeight="1">
      <c r="B35" s="40"/>
      <c r="C35" s="321"/>
      <c r="D35" s="321"/>
      <c r="E35" s="321"/>
      <c r="F35" s="321"/>
      <c r="G35" s="321"/>
      <c r="H35" s="321"/>
      <c r="I35" s="321"/>
      <c r="J35" s="41"/>
    </row>
    <row r="36" spans="2:10">
      <c r="C36" s="322" t="s">
        <v>49</v>
      </c>
      <c r="D36" s="323"/>
      <c r="E36" s="323"/>
      <c r="F36" s="323"/>
      <c r="G36" s="323"/>
      <c r="H36" s="323"/>
      <c r="I36" s="323"/>
    </row>
  </sheetData>
  <sheetProtection algorithmName="SHA-512" hashValue="Hlbf9qvoc7OgiHc1RTRz9wt25QbK+GNK1DdcYwk9w3A2jUf38hk1JdLqsqM9ihyVmXvWF/YJop5xo8h7OY8PsA==" saltValue="EbsZx0gz3rtRQbw0tELybA==" spinCount="100000" sheet="1" objects="1" scenarios="1" selectLockedCells="1"/>
  <mergeCells count="37">
    <mergeCell ref="C7:I7"/>
    <mergeCell ref="B1:I1"/>
    <mergeCell ref="B2:J2"/>
    <mergeCell ref="C4:I4"/>
    <mergeCell ref="C5:I5"/>
    <mergeCell ref="C6:I6"/>
    <mergeCell ref="C8:D15"/>
    <mergeCell ref="E9:G9"/>
    <mergeCell ref="E10:F10"/>
    <mergeCell ref="G10:I10"/>
    <mergeCell ref="E11:I11"/>
    <mergeCell ref="E12:F12"/>
    <mergeCell ref="G12:I12"/>
    <mergeCell ref="E14:I14"/>
    <mergeCell ref="E15:F15"/>
    <mergeCell ref="G15:I15"/>
    <mergeCell ref="G13:I13"/>
    <mergeCell ref="D28:E28"/>
    <mergeCell ref="C16:I16"/>
    <mergeCell ref="C17:I17"/>
    <mergeCell ref="C18:I18"/>
    <mergeCell ref="C19:I19"/>
    <mergeCell ref="D21:E21"/>
    <mergeCell ref="D22:E22"/>
    <mergeCell ref="D23:E23"/>
    <mergeCell ref="D24:E24"/>
    <mergeCell ref="D25:E25"/>
    <mergeCell ref="D26:E26"/>
    <mergeCell ref="D27:E27"/>
    <mergeCell ref="C35:I35"/>
    <mergeCell ref="C36:I36"/>
    <mergeCell ref="D29:E29"/>
    <mergeCell ref="D30:E30"/>
    <mergeCell ref="D31:E31"/>
    <mergeCell ref="C32:E32"/>
    <mergeCell ref="C33:I33"/>
    <mergeCell ref="C34:I34"/>
  </mergeCells>
  <phoneticPr fontId="1"/>
  <printOptions horizontalCentered="1" verticalCentered="1"/>
  <pageMargins left="0.74803149606299213" right="0.74803149606299213" top="0.98425196850393704" bottom="0.98425196850393704" header="0.51181102362204722" footer="0.51181102362204722"/>
  <pageSetup paperSize="9" scale="86"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FF00"/>
    <pageSetUpPr fitToPage="1"/>
  </sheetPr>
  <dimension ref="B2:K36"/>
  <sheetViews>
    <sheetView showGridLines="0" view="pageBreakPreview" zoomScaleNormal="100" zoomScaleSheetLayoutView="100" workbookViewId="0">
      <selection activeCell="H14" sqref="H14:J14"/>
    </sheetView>
  </sheetViews>
  <sheetFormatPr defaultRowHeight="18.75"/>
  <cols>
    <col min="1" max="1" width="2.875" customWidth="1"/>
    <col min="2" max="2" width="2.125" customWidth="1"/>
    <col min="3" max="3" width="17.625" customWidth="1"/>
    <col min="4" max="4" width="5.625" customWidth="1"/>
    <col min="5" max="5" width="4.25" customWidth="1"/>
    <col min="6" max="6" width="7.75" customWidth="1"/>
    <col min="7" max="7" width="7.375" customWidth="1"/>
    <col min="8" max="8" width="8.875" customWidth="1"/>
    <col min="9" max="9" width="16.75" customWidth="1"/>
    <col min="10" max="10" width="13.125" customWidth="1"/>
    <col min="11" max="11" width="2" customWidth="1"/>
  </cols>
  <sheetData>
    <row r="2" spans="2:11" ht="12" customHeight="1">
      <c r="B2" s="348" t="s">
        <v>50</v>
      </c>
      <c r="C2" s="348"/>
      <c r="D2" s="348"/>
      <c r="E2" s="348"/>
      <c r="F2" s="348"/>
      <c r="G2" s="348"/>
      <c r="H2" s="348"/>
      <c r="I2" s="348"/>
      <c r="J2" s="348"/>
    </row>
    <row r="3" spans="2:11" ht="12" customHeight="1">
      <c r="B3" s="349" t="s">
        <v>51</v>
      </c>
      <c r="C3" s="349"/>
      <c r="D3" s="349"/>
      <c r="E3" s="349"/>
      <c r="F3" s="349"/>
      <c r="G3" s="349"/>
      <c r="H3" s="349"/>
      <c r="I3" s="349"/>
      <c r="J3" s="349"/>
    </row>
    <row r="4" spans="2:11" ht="20.100000000000001" customHeight="1">
      <c r="B4" s="7"/>
      <c r="C4" s="358"/>
      <c r="D4" s="358"/>
      <c r="E4" s="358"/>
      <c r="F4" s="358"/>
      <c r="G4" s="358"/>
      <c r="H4" s="358"/>
      <c r="I4" s="358"/>
      <c r="J4" s="358"/>
      <c r="K4" s="42"/>
    </row>
    <row r="5" spans="2:11" ht="20.100000000000001" customHeight="1">
      <c r="B5" s="11"/>
      <c r="C5" s="359" t="s">
        <v>52</v>
      </c>
      <c r="D5" s="359"/>
      <c r="E5" s="359"/>
      <c r="F5" s="359"/>
      <c r="G5" s="359"/>
      <c r="H5" s="359"/>
      <c r="I5" s="359"/>
      <c r="J5" s="359"/>
      <c r="K5" s="1"/>
    </row>
    <row r="6" spans="2:11" ht="20.100000000000001" customHeight="1">
      <c r="B6" s="11"/>
      <c r="C6" s="329"/>
      <c r="D6" s="329"/>
      <c r="E6" s="329"/>
      <c r="F6" s="329"/>
      <c r="G6" s="329"/>
      <c r="H6" s="329"/>
      <c r="I6" s="329"/>
      <c r="J6" s="329"/>
      <c r="K6" s="1"/>
    </row>
    <row r="7" spans="2:11" ht="20.100000000000001" customHeight="1">
      <c r="B7" s="11"/>
      <c r="C7" s="351" t="s">
        <v>33</v>
      </c>
      <c r="D7" s="351"/>
      <c r="E7" s="351"/>
      <c r="F7" s="351"/>
      <c r="G7" s="351"/>
      <c r="H7" s="351"/>
      <c r="I7" s="351"/>
      <c r="J7" s="351"/>
      <c r="K7" s="1"/>
    </row>
    <row r="8" spans="2:11" ht="20.100000000000001" customHeight="1" thickBot="1">
      <c r="B8" s="11"/>
      <c r="C8" s="329"/>
      <c r="D8" s="329"/>
      <c r="E8" s="329"/>
      <c r="F8" s="329"/>
      <c r="G8" s="329"/>
      <c r="H8" s="329"/>
      <c r="I8" s="329"/>
      <c r="J8" s="329"/>
      <c r="K8" s="1"/>
    </row>
    <row r="9" spans="2:11" ht="20.100000000000001" customHeight="1" thickTop="1">
      <c r="B9" s="11"/>
      <c r="C9" s="329"/>
      <c r="D9" s="330"/>
      <c r="E9" s="43"/>
      <c r="F9" s="44"/>
      <c r="G9" s="44"/>
      <c r="H9" s="44"/>
      <c r="I9" s="360">
        <f>申請者情報入力シート!H3</f>
        <v>0</v>
      </c>
      <c r="J9" s="361"/>
      <c r="K9" s="1"/>
    </row>
    <row r="10" spans="2:11" ht="20.100000000000001" customHeight="1">
      <c r="B10" s="11"/>
      <c r="C10" s="329"/>
      <c r="D10" s="330"/>
      <c r="E10" s="362" t="s">
        <v>53</v>
      </c>
      <c r="F10" s="329"/>
      <c r="G10" s="329"/>
      <c r="H10" s="329"/>
      <c r="I10" s="329"/>
      <c r="J10" s="330"/>
      <c r="K10" s="1"/>
    </row>
    <row r="11" spans="2:11" ht="20.100000000000001" customHeight="1">
      <c r="B11" s="11"/>
      <c r="C11" s="329"/>
      <c r="D11" s="330"/>
      <c r="E11" s="190"/>
      <c r="F11" s="363" t="s">
        <v>54</v>
      </c>
      <c r="G11" s="363"/>
      <c r="H11" s="364">
        <f>IF(申請者情報入力シート!H7="",申請者情報入力シート!H6,申請者情報入力シート!H9)</f>
        <v>0</v>
      </c>
      <c r="I11" s="363"/>
      <c r="J11" s="365"/>
      <c r="K11" s="1"/>
    </row>
    <row r="12" spans="2:11" ht="7.5" customHeight="1">
      <c r="B12" s="11"/>
      <c r="C12" s="329"/>
      <c r="D12" s="330"/>
      <c r="E12" s="366"/>
      <c r="F12" s="351"/>
      <c r="G12" s="351"/>
      <c r="H12" s="351"/>
      <c r="I12" s="351"/>
      <c r="J12" s="357"/>
      <c r="K12" s="1"/>
    </row>
    <row r="13" spans="2:11" ht="20.100000000000001" customHeight="1">
      <c r="B13" s="11"/>
      <c r="C13" s="329"/>
      <c r="D13" s="330"/>
      <c r="E13" s="190"/>
      <c r="F13" s="363" t="s">
        <v>55</v>
      </c>
      <c r="G13" s="363"/>
      <c r="H13" s="364">
        <f>IF(申請者情報入力シート!H7="",申請者情報入力シート!H4,申請者情報入力シート!H7)</f>
        <v>0</v>
      </c>
      <c r="I13" s="364"/>
      <c r="J13" s="367"/>
      <c r="K13" s="1"/>
    </row>
    <row r="14" spans="2:11" ht="20.100000000000001" customHeight="1">
      <c r="B14" s="11"/>
      <c r="C14" s="329"/>
      <c r="D14" s="330"/>
      <c r="E14" s="191"/>
      <c r="F14" s="111"/>
      <c r="G14" s="111"/>
      <c r="H14" s="351" t="str">
        <f>IF(申請者情報入力シート!H7="",IF(申請者情報入力シート!H5="","",申請者情報入力シート!H5),IF(申請者情報入力シート!H8="","",申請者情報入力シート!H8))</f>
        <v/>
      </c>
      <c r="I14" s="351"/>
      <c r="J14" s="357"/>
      <c r="K14" s="1"/>
    </row>
    <row r="15" spans="2:11" ht="20.100000000000001" customHeight="1" thickBot="1">
      <c r="B15" s="11"/>
      <c r="C15" s="336"/>
      <c r="D15" s="337"/>
      <c r="E15" s="113"/>
      <c r="F15" s="112" t="s">
        <v>240</v>
      </c>
      <c r="G15" s="111"/>
      <c r="H15" s="351">
        <f>申請者情報入力シート!H13</f>
        <v>0</v>
      </c>
      <c r="I15" s="351"/>
      <c r="J15" s="192"/>
      <c r="K15" s="1"/>
    </row>
    <row r="16" spans="2:11" ht="20.100000000000001" customHeight="1" thickTop="1">
      <c r="B16" s="20"/>
      <c r="C16" s="329"/>
      <c r="D16" s="329"/>
      <c r="E16" s="329"/>
      <c r="F16" s="329"/>
      <c r="G16" s="329"/>
      <c r="H16" s="329"/>
      <c r="I16" s="329"/>
      <c r="J16" s="330"/>
      <c r="K16" s="1"/>
    </row>
    <row r="17" spans="2:11" ht="20.100000000000001" customHeight="1">
      <c r="B17" s="20"/>
      <c r="C17" s="329" t="s">
        <v>56</v>
      </c>
      <c r="D17" s="329"/>
      <c r="E17" s="329"/>
      <c r="F17" s="329"/>
      <c r="G17" s="329"/>
      <c r="H17" s="329"/>
      <c r="I17" s="329"/>
      <c r="J17" s="330"/>
      <c r="K17" s="1"/>
    </row>
    <row r="18" spans="2:11" ht="20.100000000000001" customHeight="1">
      <c r="B18" s="20"/>
      <c r="C18" s="329"/>
      <c r="D18" s="329"/>
      <c r="E18" s="329"/>
      <c r="F18" s="329"/>
      <c r="G18" s="329"/>
      <c r="H18" s="329"/>
      <c r="I18" s="329"/>
      <c r="J18" s="330"/>
      <c r="K18" s="1"/>
    </row>
    <row r="19" spans="2:11" ht="20.100000000000001" customHeight="1">
      <c r="B19" s="20"/>
      <c r="C19" s="331" t="s">
        <v>57</v>
      </c>
      <c r="D19" s="331"/>
      <c r="E19" s="331"/>
      <c r="F19" s="331"/>
      <c r="G19" s="331"/>
      <c r="H19" s="331"/>
      <c r="I19" s="331"/>
      <c r="J19" s="332"/>
      <c r="K19" s="1"/>
    </row>
    <row r="20" spans="2:11" ht="20.100000000000001" customHeight="1" thickBot="1">
      <c r="B20" s="20"/>
      <c r="C20" s="94"/>
      <c r="D20" s="94"/>
      <c r="E20" s="94"/>
      <c r="F20" s="94"/>
      <c r="G20" s="94"/>
      <c r="H20" s="94"/>
      <c r="I20" s="94"/>
      <c r="J20" s="109"/>
      <c r="K20" s="1"/>
    </row>
    <row r="21" spans="2:11" ht="19.149999999999999" customHeight="1" thickTop="1">
      <c r="B21" s="20"/>
      <c r="C21" s="30" t="s">
        <v>58</v>
      </c>
      <c r="D21" s="334" t="s">
        <v>59</v>
      </c>
      <c r="E21" s="334"/>
      <c r="F21" s="31" t="s">
        <v>42</v>
      </c>
      <c r="G21" s="31" t="s">
        <v>60</v>
      </c>
      <c r="H21" s="31" t="s">
        <v>43</v>
      </c>
      <c r="I21" s="33" t="s">
        <v>61</v>
      </c>
      <c r="J21" s="45" t="s">
        <v>62</v>
      </c>
      <c r="K21" s="1"/>
    </row>
    <row r="22" spans="2:11" ht="30" customHeight="1">
      <c r="B22" s="20"/>
      <c r="C22" s="89" t="str">
        <f>IF(集計シート!D75&gt;0,集計シート!B1&amp;"："&amp;集計シート!C63&amp;"～"&amp;集計シート!B63,"")</f>
        <v/>
      </c>
      <c r="D22" s="334">
        <f>分銅情報入力シート!E3</f>
        <v>0</v>
      </c>
      <c r="E22" s="334"/>
      <c r="F22" s="31">
        <f>COUNT(集計シート!AA3:AA102)</f>
        <v>0</v>
      </c>
      <c r="G22" s="46">
        <f>分銅情報入力シート!L3</f>
        <v>0</v>
      </c>
      <c r="H22" s="47">
        <f>IF(申請者情報入力シート!H14="減免対象","減免",G22*400)</f>
        <v>0</v>
      </c>
      <c r="I22" s="48">
        <f>I9</f>
        <v>0</v>
      </c>
      <c r="J22" s="32"/>
      <c r="K22" s="1"/>
    </row>
    <row r="23" spans="2:11" ht="30" customHeight="1">
      <c r="B23" s="20"/>
      <c r="C23" s="90"/>
      <c r="D23" s="355"/>
      <c r="E23" s="356"/>
      <c r="F23" s="238"/>
      <c r="G23" s="34"/>
      <c r="H23" s="34"/>
      <c r="I23" s="35"/>
      <c r="J23" s="32"/>
      <c r="K23" s="1"/>
    </row>
    <row r="24" spans="2:11" ht="30" customHeight="1">
      <c r="B24" s="20"/>
      <c r="C24" s="90"/>
      <c r="D24" s="355"/>
      <c r="E24" s="356"/>
      <c r="F24" s="238"/>
      <c r="G24" s="34"/>
      <c r="H24" s="34"/>
      <c r="I24" s="35"/>
      <c r="J24" s="32"/>
      <c r="K24" s="1"/>
    </row>
    <row r="25" spans="2:11" ht="30" customHeight="1">
      <c r="B25" s="20"/>
      <c r="C25" s="90"/>
      <c r="D25" s="355"/>
      <c r="E25" s="356"/>
      <c r="F25" s="238"/>
      <c r="G25" s="34"/>
      <c r="H25" s="34"/>
      <c r="I25" s="35"/>
      <c r="J25" s="32"/>
      <c r="K25" s="1"/>
    </row>
    <row r="26" spans="2:11" ht="30" customHeight="1">
      <c r="B26" s="20"/>
      <c r="C26" s="90"/>
      <c r="D26" s="355"/>
      <c r="E26" s="356"/>
      <c r="F26" s="238"/>
      <c r="G26" s="34"/>
      <c r="H26" s="34"/>
      <c r="I26" s="35"/>
      <c r="J26" s="32"/>
      <c r="K26" s="1"/>
    </row>
    <row r="27" spans="2:11" ht="30" customHeight="1">
      <c r="B27" s="20"/>
      <c r="C27" s="90"/>
      <c r="D27" s="355"/>
      <c r="E27" s="356"/>
      <c r="F27" s="238"/>
      <c r="G27" s="34"/>
      <c r="H27" s="34"/>
      <c r="I27" s="35"/>
      <c r="J27" s="32"/>
      <c r="K27" s="1"/>
    </row>
    <row r="28" spans="2:11" ht="30" customHeight="1">
      <c r="B28" s="20"/>
      <c r="C28" s="90"/>
      <c r="D28" s="353"/>
      <c r="E28" s="353"/>
      <c r="F28" s="238"/>
      <c r="G28" s="34"/>
      <c r="H28" s="34"/>
      <c r="I28" s="35"/>
      <c r="J28" s="32"/>
      <c r="K28" s="1"/>
    </row>
    <row r="29" spans="2:11" ht="30" customHeight="1">
      <c r="B29" s="20"/>
      <c r="C29" s="90"/>
      <c r="D29" s="353"/>
      <c r="E29" s="353"/>
      <c r="F29" s="238"/>
      <c r="G29" s="34"/>
      <c r="H29" s="34"/>
      <c r="I29" s="35"/>
      <c r="J29" s="32"/>
      <c r="K29" s="1"/>
    </row>
    <row r="30" spans="2:11" ht="30" customHeight="1">
      <c r="B30" s="20"/>
      <c r="C30" s="90"/>
      <c r="D30" s="353"/>
      <c r="E30" s="353"/>
      <c r="F30" s="238"/>
      <c r="G30" s="34"/>
      <c r="H30" s="34"/>
      <c r="I30" s="35"/>
      <c r="J30" s="32"/>
      <c r="K30" s="1"/>
    </row>
    <row r="31" spans="2:11" ht="30" customHeight="1">
      <c r="B31" s="20"/>
      <c r="C31" s="90"/>
      <c r="D31" s="353"/>
      <c r="E31" s="353"/>
      <c r="F31" s="238"/>
      <c r="G31" s="34"/>
      <c r="H31" s="34"/>
      <c r="I31" s="35"/>
      <c r="J31" s="32"/>
      <c r="K31" s="1"/>
    </row>
    <row r="32" spans="2:11" ht="30" customHeight="1" thickBot="1">
      <c r="B32" s="20"/>
      <c r="C32" s="325" t="s">
        <v>46</v>
      </c>
      <c r="D32" s="326"/>
      <c r="E32" s="326"/>
      <c r="F32" s="36">
        <f>SUM(F22)</f>
        <v>0</v>
      </c>
      <c r="G32" s="49">
        <f>SUM(G22)</f>
        <v>0</v>
      </c>
      <c r="H32" s="95">
        <f>IF(申請者情報入力シート!H14="減免対象","減免",SUM(H22:H31))</f>
        <v>0</v>
      </c>
      <c r="I32" s="50"/>
      <c r="J32" s="51"/>
      <c r="K32" s="1"/>
    </row>
    <row r="33" spans="2:11" ht="19.149999999999999" customHeight="1" thickTop="1">
      <c r="B33" s="11"/>
      <c r="C33" s="354" t="s">
        <v>63</v>
      </c>
      <c r="D33" s="354"/>
      <c r="E33" s="354"/>
      <c r="F33" s="354"/>
      <c r="G33" s="354"/>
      <c r="H33" s="354"/>
      <c r="I33" s="354"/>
      <c r="J33" s="354"/>
      <c r="K33" s="1"/>
    </row>
    <row r="34" spans="2:11" ht="19.149999999999999" customHeight="1">
      <c r="B34" s="11"/>
      <c r="C34" s="329"/>
      <c r="D34" s="329"/>
      <c r="E34" s="329"/>
      <c r="F34" s="329"/>
      <c r="G34" s="329"/>
      <c r="H34" s="329"/>
      <c r="I34" s="329"/>
      <c r="J34" s="329"/>
      <c r="K34" s="1"/>
    </row>
    <row r="35" spans="2:11" ht="19.149999999999999" customHeight="1">
      <c r="B35" s="40"/>
      <c r="C35" s="352"/>
      <c r="D35" s="352"/>
      <c r="E35" s="352"/>
      <c r="F35" s="352"/>
      <c r="G35" s="352"/>
      <c r="H35" s="352"/>
      <c r="I35" s="352"/>
      <c r="J35" s="352"/>
      <c r="K35" s="52"/>
    </row>
    <row r="36" spans="2:11">
      <c r="C36" s="322" t="s">
        <v>49</v>
      </c>
      <c r="D36" s="323"/>
      <c r="E36" s="323"/>
      <c r="F36" s="323"/>
      <c r="G36" s="323"/>
      <c r="H36" s="323"/>
      <c r="I36" s="323"/>
      <c r="J36" s="323"/>
    </row>
  </sheetData>
  <sheetProtection algorithmName="SHA-512" hashValue="ukYWoMvTHOwDmr8emLQJZn1qUjaAEbYZAU3KVyXHVqq/NcHXDo5ybfSpkY7HfEZaKw5AAlCR+MCgwl+rZb6dXw==" saltValue="ngLAXmstcvEGNEacyVWtwA==" spinCount="100000" sheet="1" objects="1" scenarios="1" selectLockedCells="1"/>
  <mergeCells count="37">
    <mergeCell ref="C7:J7"/>
    <mergeCell ref="H14:J14"/>
    <mergeCell ref="B2:J2"/>
    <mergeCell ref="B3:J3"/>
    <mergeCell ref="C4:J4"/>
    <mergeCell ref="C5:J5"/>
    <mergeCell ref="C6:J6"/>
    <mergeCell ref="C8:J8"/>
    <mergeCell ref="C9:D15"/>
    <mergeCell ref="I9:J9"/>
    <mergeCell ref="E10:J10"/>
    <mergeCell ref="F11:G11"/>
    <mergeCell ref="H11:J11"/>
    <mergeCell ref="E12:J12"/>
    <mergeCell ref="F13:G13"/>
    <mergeCell ref="H13:J13"/>
    <mergeCell ref="D22:E22"/>
    <mergeCell ref="D23:E23"/>
    <mergeCell ref="D24:E24"/>
    <mergeCell ref="D25:E25"/>
    <mergeCell ref="D26:E26"/>
    <mergeCell ref="H15:I15"/>
    <mergeCell ref="C34:J34"/>
    <mergeCell ref="C35:J35"/>
    <mergeCell ref="C36:J36"/>
    <mergeCell ref="D28:E28"/>
    <mergeCell ref="D29:E29"/>
    <mergeCell ref="D30:E30"/>
    <mergeCell ref="D31:E31"/>
    <mergeCell ref="C32:E32"/>
    <mergeCell ref="C33:J33"/>
    <mergeCell ref="D27:E27"/>
    <mergeCell ref="C16:J16"/>
    <mergeCell ref="C17:J17"/>
    <mergeCell ref="C18:J18"/>
    <mergeCell ref="C19:J19"/>
    <mergeCell ref="D21:E21"/>
  </mergeCells>
  <phoneticPr fontId="1"/>
  <printOptions horizontalCentered="1" verticalCentered="1"/>
  <pageMargins left="0.70866141732283472" right="0.70866141732283472" top="0.74803149606299213" bottom="0.74803149606299213" header="0.31496062992125984" footer="0.31496062992125984"/>
  <pageSetup paperSize="9" scale="91"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sheetPr>
  <dimension ref="A1:H41"/>
  <sheetViews>
    <sheetView showGridLines="0" view="pageBreakPreview" topLeftCell="A25" zoomScaleNormal="100" zoomScaleSheetLayoutView="100" workbookViewId="0">
      <selection activeCell="C30" sqref="C30:G30"/>
    </sheetView>
  </sheetViews>
  <sheetFormatPr defaultRowHeight="18.75"/>
  <cols>
    <col min="1" max="1" width="4.875" customWidth="1"/>
    <col min="2" max="2" width="15.125" customWidth="1"/>
    <col min="3" max="3" width="1.625" customWidth="1"/>
    <col min="4" max="5" width="8.625" customWidth="1"/>
    <col min="6" max="7" width="21.625" customWidth="1"/>
    <col min="8" max="8" width="1.625" customWidth="1"/>
  </cols>
  <sheetData>
    <row r="1" spans="1:8" ht="45" customHeight="1">
      <c r="A1" s="138" t="s">
        <v>203</v>
      </c>
    </row>
    <row r="2" spans="1:8">
      <c r="A2" s="372" t="s">
        <v>204</v>
      </c>
      <c r="B2" s="372"/>
      <c r="C2" s="372"/>
      <c r="D2" s="372"/>
      <c r="E2" s="372"/>
      <c r="F2" s="372"/>
      <c r="G2" s="372"/>
      <c r="H2" s="372"/>
    </row>
    <row r="3" spans="1:8" ht="20.25" customHeight="1">
      <c r="A3" s="372"/>
      <c r="B3" s="372"/>
      <c r="C3" s="372"/>
      <c r="D3" s="372"/>
      <c r="E3" s="372"/>
      <c r="F3" s="372"/>
      <c r="G3" s="372"/>
      <c r="H3" s="372"/>
    </row>
    <row r="4" spans="1:8">
      <c r="A4" s="146"/>
    </row>
    <row r="5" spans="1:8" ht="19.899999999999999" customHeight="1">
      <c r="A5" s="369" t="s">
        <v>205</v>
      </c>
      <c r="B5" s="370"/>
      <c r="C5" s="147"/>
      <c r="D5" s="371" t="s">
        <v>206</v>
      </c>
      <c r="E5" s="371"/>
      <c r="F5" s="371"/>
      <c r="G5" s="371"/>
      <c r="H5" s="51"/>
    </row>
    <row r="6" spans="1:8" ht="18" customHeight="1">
      <c r="A6" s="373" t="s">
        <v>207</v>
      </c>
      <c r="B6" s="374"/>
      <c r="C6" s="111"/>
      <c r="D6" s="351" t="s">
        <v>208</v>
      </c>
      <c r="E6" s="351"/>
      <c r="F6" s="351"/>
      <c r="G6" s="351"/>
      <c r="H6" s="148"/>
    </row>
    <row r="7" spans="1:8" ht="18" customHeight="1">
      <c r="A7" s="373"/>
      <c r="B7" s="374"/>
      <c r="C7" s="111"/>
      <c r="D7" s="375" t="s">
        <v>392</v>
      </c>
      <c r="E7" s="376"/>
      <c r="F7" s="377" t="s">
        <v>409</v>
      </c>
      <c r="G7" s="378"/>
      <c r="H7" s="149"/>
    </row>
    <row r="8" spans="1:8" ht="18" customHeight="1">
      <c r="A8" s="373"/>
      <c r="B8" s="374"/>
      <c r="C8" s="111"/>
      <c r="D8" s="375" t="s">
        <v>209</v>
      </c>
      <c r="E8" s="376"/>
      <c r="F8" s="377" t="s">
        <v>410</v>
      </c>
      <c r="G8" s="378"/>
      <c r="H8" s="149"/>
    </row>
    <row r="9" spans="1:8" ht="18" customHeight="1">
      <c r="A9" s="373"/>
      <c r="B9" s="374"/>
      <c r="C9" s="150"/>
      <c r="D9" s="375" t="s">
        <v>210</v>
      </c>
      <c r="E9" s="376"/>
      <c r="F9" s="377" t="s">
        <v>411</v>
      </c>
      <c r="G9" s="378"/>
      <c r="H9" s="149"/>
    </row>
    <row r="10" spans="1:8" ht="5.0999999999999996" customHeight="1">
      <c r="A10" s="373"/>
      <c r="B10" s="374"/>
      <c r="C10" s="111"/>
      <c r="D10" s="114"/>
      <c r="E10" s="114"/>
      <c r="F10" s="114"/>
      <c r="G10" s="151"/>
      <c r="H10" s="149"/>
    </row>
    <row r="11" spans="1:8" ht="23.1" customHeight="1">
      <c r="A11" s="369" t="s">
        <v>211</v>
      </c>
      <c r="B11" s="370"/>
      <c r="C11" s="147"/>
      <c r="D11" s="371" t="s">
        <v>393</v>
      </c>
      <c r="E11" s="371"/>
      <c r="F11" s="371"/>
      <c r="G11" s="371"/>
      <c r="H11" s="51"/>
    </row>
    <row r="12" spans="1:8" ht="23.1" customHeight="1">
      <c r="A12" s="373" t="s">
        <v>212</v>
      </c>
      <c r="B12" s="374"/>
      <c r="C12" s="111"/>
      <c r="D12" s="351" t="s">
        <v>394</v>
      </c>
      <c r="E12" s="351"/>
      <c r="F12" s="351"/>
      <c r="G12" s="351"/>
      <c r="H12" s="148"/>
    </row>
    <row r="13" spans="1:8" ht="23.1" customHeight="1">
      <c r="A13" s="369" t="s">
        <v>213</v>
      </c>
      <c r="B13" s="370"/>
      <c r="C13" s="147"/>
      <c r="D13" s="371" t="s">
        <v>214</v>
      </c>
      <c r="E13" s="371"/>
      <c r="F13" s="371"/>
      <c r="G13" s="371"/>
      <c r="H13" s="51"/>
    </row>
    <row r="14" spans="1:8" ht="29.25" customHeight="1">
      <c r="A14" s="379" t="s">
        <v>215</v>
      </c>
      <c r="B14" s="380"/>
      <c r="C14" s="381" t="s">
        <v>395</v>
      </c>
      <c r="D14" s="381"/>
      <c r="E14" s="381"/>
      <c r="F14" s="381"/>
      <c r="G14" s="381"/>
      <c r="H14" s="152"/>
    </row>
    <row r="15" spans="1:8" ht="15" customHeight="1">
      <c r="A15" s="379"/>
      <c r="B15" s="380"/>
      <c r="C15" s="153"/>
      <c r="D15" s="381" t="s">
        <v>216</v>
      </c>
      <c r="E15" s="381"/>
      <c r="F15" s="381"/>
      <c r="G15" s="381"/>
      <c r="H15" s="152"/>
    </row>
    <row r="16" spans="1:8" ht="15" customHeight="1">
      <c r="A16" s="379"/>
      <c r="B16" s="380"/>
      <c r="C16" s="153"/>
      <c r="D16" s="381" t="s">
        <v>217</v>
      </c>
      <c r="E16" s="381"/>
      <c r="F16" s="381"/>
      <c r="G16" s="381"/>
      <c r="H16" s="152"/>
    </row>
    <row r="17" spans="1:8" ht="15" customHeight="1">
      <c r="A17" s="379"/>
      <c r="B17" s="380"/>
      <c r="C17" s="153"/>
      <c r="D17" s="245" t="s">
        <v>398</v>
      </c>
      <c r="E17" s="368" t="s">
        <v>402</v>
      </c>
      <c r="F17" s="368"/>
      <c r="G17" s="368"/>
      <c r="H17" s="154"/>
    </row>
    <row r="18" spans="1:8" ht="15" customHeight="1">
      <c r="A18" s="379"/>
      <c r="B18" s="380"/>
      <c r="C18" s="153"/>
      <c r="D18" s="245" t="s">
        <v>399</v>
      </c>
      <c r="E18" s="368" t="s">
        <v>403</v>
      </c>
      <c r="F18" s="368"/>
      <c r="G18" s="368"/>
      <c r="H18" s="154"/>
    </row>
    <row r="19" spans="1:8" ht="15" customHeight="1">
      <c r="A19" s="379"/>
      <c r="B19" s="380"/>
      <c r="C19" s="153"/>
      <c r="D19" s="245" t="s">
        <v>400</v>
      </c>
      <c r="E19" s="368" t="s">
        <v>401</v>
      </c>
      <c r="F19" s="368"/>
      <c r="G19" s="368"/>
      <c r="H19" s="154"/>
    </row>
    <row r="20" spans="1:8" ht="15" customHeight="1">
      <c r="A20" s="379"/>
      <c r="B20" s="380"/>
      <c r="C20" s="153"/>
      <c r="D20" s="245" t="s">
        <v>396</v>
      </c>
      <c r="E20" s="368" t="s">
        <v>404</v>
      </c>
      <c r="F20" s="368"/>
      <c r="G20" s="368"/>
      <c r="H20" s="154"/>
    </row>
    <row r="21" spans="1:8" ht="15" customHeight="1">
      <c r="A21" s="379"/>
      <c r="B21" s="380"/>
      <c r="C21" s="153"/>
      <c r="D21" s="245" t="s">
        <v>397</v>
      </c>
      <c r="E21" s="368" t="s">
        <v>405</v>
      </c>
      <c r="F21" s="368"/>
      <c r="G21" s="368"/>
      <c r="H21" s="154"/>
    </row>
    <row r="22" spans="1:8" ht="6.95" customHeight="1">
      <c r="A22" s="379"/>
      <c r="B22" s="380"/>
      <c r="C22" s="153"/>
      <c r="D22" s="382"/>
      <c r="E22" s="382"/>
      <c r="F22" s="382"/>
      <c r="G22" s="382"/>
      <c r="H22" s="155"/>
    </row>
    <row r="23" spans="1:8" ht="15" customHeight="1">
      <c r="A23" s="379"/>
      <c r="B23" s="380"/>
      <c r="C23" s="153"/>
      <c r="D23" s="381" t="s">
        <v>218</v>
      </c>
      <c r="E23" s="381"/>
      <c r="F23" s="381"/>
      <c r="G23" s="381"/>
      <c r="H23" s="152"/>
    </row>
    <row r="24" spans="1:8" ht="15" customHeight="1">
      <c r="A24" s="379"/>
      <c r="B24" s="380"/>
      <c r="C24" s="153"/>
      <c r="D24" s="383" t="s">
        <v>406</v>
      </c>
      <c r="E24" s="383"/>
      <c r="F24" s="383"/>
      <c r="G24" s="383"/>
      <c r="H24" s="152"/>
    </row>
    <row r="25" spans="1:8" ht="15" customHeight="1">
      <c r="A25" s="379"/>
      <c r="B25" s="380"/>
      <c r="C25" s="153"/>
      <c r="D25" s="381" t="s">
        <v>219</v>
      </c>
      <c r="E25" s="381"/>
      <c r="F25" s="381"/>
      <c r="G25" s="381"/>
      <c r="H25" s="152"/>
    </row>
    <row r="26" spans="1:8" ht="15" customHeight="1">
      <c r="A26" s="379"/>
      <c r="B26" s="380"/>
      <c r="C26" s="153"/>
      <c r="D26" s="381" t="s">
        <v>220</v>
      </c>
      <c r="E26" s="381"/>
      <c r="F26" s="381"/>
      <c r="G26" s="381"/>
      <c r="H26" s="152"/>
    </row>
    <row r="27" spans="1:8" ht="21.95" customHeight="1">
      <c r="A27" s="384" t="s">
        <v>221</v>
      </c>
      <c r="B27" s="385"/>
      <c r="C27" s="156"/>
      <c r="D27" s="386" t="s">
        <v>222</v>
      </c>
      <c r="E27" s="386"/>
      <c r="F27" s="386"/>
      <c r="G27" s="386"/>
      <c r="H27" s="157"/>
    </row>
    <row r="28" spans="1:8" ht="21.95" customHeight="1">
      <c r="A28" s="379" t="s">
        <v>223</v>
      </c>
      <c r="B28" s="380"/>
      <c r="C28" s="153"/>
      <c r="D28" s="381" t="s">
        <v>224</v>
      </c>
      <c r="E28" s="381"/>
      <c r="F28" s="381"/>
      <c r="G28" s="381"/>
      <c r="H28" s="152"/>
    </row>
    <row r="29" spans="1:8" ht="15.95" customHeight="1">
      <c r="A29" s="390" t="s">
        <v>225</v>
      </c>
      <c r="B29" s="391"/>
      <c r="C29" s="158"/>
      <c r="D29" s="394" t="s">
        <v>412</v>
      </c>
      <c r="E29" s="394"/>
      <c r="F29" s="394"/>
      <c r="G29" s="394"/>
      <c r="H29" s="159"/>
    </row>
    <row r="30" spans="1:8" ht="27" customHeight="1">
      <c r="A30" s="392"/>
      <c r="B30" s="393"/>
      <c r="C30" s="395" t="s">
        <v>413</v>
      </c>
      <c r="D30" s="395"/>
      <c r="E30" s="395"/>
      <c r="F30" s="395"/>
      <c r="G30" s="395"/>
      <c r="H30" s="160"/>
    </row>
    <row r="31" spans="1:8" ht="18" customHeight="1">
      <c r="A31" s="379" t="s">
        <v>226</v>
      </c>
      <c r="B31" s="380"/>
      <c r="C31" s="153"/>
      <c r="D31" s="381" t="s">
        <v>227</v>
      </c>
      <c r="E31" s="381"/>
      <c r="F31" s="381"/>
      <c r="G31" s="381"/>
      <c r="H31" s="152"/>
    </row>
    <row r="32" spans="1:8" ht="20.100000000000001" customHeight="1">
      <c r="A32" s="396" t="s">
        <v>228</v>
      </c>
      <c r="B32" s="399" t="s">
        <v>229</v>
      </c>
      <c r="C32" s="401" t="s">
        <v>230</v>
      </c>
      <c r="D32" s="394"/>
      <c r="E32" s="394"/>
      <c r="F32" s="402"/>
      <c r="G32" s="405" t="s">
        <v>186</v>
      </c>
      <c r="H32" s="406"/>
    </row>
    <row r="33" spans="1:8" ht="20.100000000000001" customHeight="1">
      <c r="A33" s="397"/>
      <c r="B33" s="400"/>
      <c r="C33" s="403"/>
      <c r="D33" s="381"/>
      <c r="E33" s="381"/>
      <c r="F33" s="404"/>
      <c r="G33" s="407" t="s">
        <v>231</v>
      </c>
      <c r="H33" s="408"/>
    </row>
    <row r="34" spans="1:8" ht="18.75" customHeight="1">
      <c r="A34" s="397"/>
      <c r="B34" s="161"/>
      <c r="C34" s="162"/>
      <c r="D34" s="389" t="s">
        <v>408</v>
      </c>
      <c r="E34" s="389"/>
      <c r="F34" s="202">
        <f>申請者情報入力シート!H4</f>
        <v>0</v>
      </c>
      <c r="G34" s="163"/>
      <c r="H34" s="164"/>
    </row>
    <row r="35" spans="1:8" ht="18.75" customHeight="1">
      <c r="A35" s="397"/>
      <c r="B35" s="161"/>
      <c r="C35" s="162"/>
      <c r="D35" s="381" t="s">
        <v>233</v>
      </c>
      <c r="E35" s="381"/>
      <c r="F35" s="202">
        <f>申請者情報入力シート!H5</f>
        <v>0</v>
      </c>
      <c r="G35" s="165"/>
      <c r="H35" s="166"/>
    </row>
    <row r="36" spans="1:8" ht="18.75" customHeight="1">
      <c r="A36" s="397"/>
      <c r="B36" s="161"/>
      <c r="C36" s="162"/>
      <c r="D36" s="381" t="s">
        <v>232</v>
      </c>
      <c r="E36" s="381"/>
      <c r="F36" s="202" t="str">
        <f>IF(申請者情報入力シート!H11="","",申請者情報入力シート!H11)</f>
        <v/>
      </c>
      <c r="G36" s="165"/>
      <c r="H36" s="166"/>
    </row>
    <row r="37" spans="1:8" ht="18.75" customHeight="1">
      <c r="A37" s="397"/>
      <c r="B37" s="161"/>
      <c r="C37" s="162"/>
      <c r="D37" s="167"/>
      <c r="E37" s="167"/>
      <c r="F37" s="202" t="str">
        <f>IF(申請者情報入力シート!H12="","",申請者情報入力シート!H12)</f>
        <v/>
      </c>
      <c r="G37" s="165"/>
      <c r="H37" s="166"/>
    </row>
    <row r="38" spans="1:8" ht="14.1" customHeight="1">
      <c r="A38" s="397"/>
      <c r="B38" s="387"/>
      <c r="C38" s="168"/>
      <c r="D38" s="167"/>
      <c r="E38" s="167"/>
      <c r="F38" s="167"/>
      <c r="G38" s="169"/>
      <c r="H38" s="170"/>
    </row>
    <row r="39" spans="1:8" ht="18.75" customHeight="1">
      <c r="A39" s="397"/>
      <c r="B39" s="387"/>
      <c r="C39" s="168"/>
      <c r="D39" s="167"/>
      <c r="E39" s="167"/>
      <c r="F39" s="237">
        <f>申請者情報入力シート!H3</f>
        <v>0</v>
      </c>
      <c r="G39" s="171" t="s">
        <v>407</v>
      </c>
      <c r="H39" s="172"/>
    </row>
    <row r="40" spans="1:8" ht="18.75" customHeight="1">
      <c r="A40" s="398"/>
      <c r="B40" s="388"/>
      <c r="C40" s="173"/>
      <c r="D40" s="174"/>
      <c r="E40" s="174"/>
      <c r="F40" s="174"/>
      <c r="G40" s="175"/>
      <c r="H40" s="176"/>
    </row>
    <row r="41" spans="1:8">
      <c r="A41" s="177"/>
    </row>
  </sheetData>
  <sheetProtection algorithmName="SHA-512" hashValue="rli815r0OZAgkxjUrFRRZ5IdHT7qzzzuByO3AMoHIr5zm3jFj1MaPcepIaHD+CkfRe4oUQX/508qtFm/fk08cQ==" saltValue="pwMUxvhP+gfQiB5jInG5Lg==" spinCount="100000" sheet="1" selectLockedCells="1"/>
  <mergeCells count="49">
    <mergeCell ref="B38:B40"/>
    <mergeCell ref="D34:E34"/>
    <mergeCell ref="A29:B30"/>
    <mergeCell ref="D29:G29"/>
    <mergeCell ref="C30:G30"/>
    <mergeCell ref="A31:B31"/>
    <mergeCell ref="D31:G31"/>
    <mergeCell ref="A32:A40"/>
    <mergeCell ref="B32:B33"/>
    <mergeCell ref="C32:F33"/>
    <mergeCell ref="G32:H32"/>
    <mergeCell ref="G33:H33"/>
    <mergeCell ref="D26:G26"/>
    <mergeCell ref="A27:B27"/>
    <mergeCell ref="D27:G27"/>
    <mergeCell ref="D35:E35"/>
    <mergeCell ref="D36:E36"/>
    <mergeCell ref="A12:B12"/>
    <mergeCell ref="D12:G12"/>
    <mergeCell ref="A28:B28"/>
    <mergeCell ref="D28:G28"/>
    <mergeCell ref="A14:B26"/>
    <mergeCell ref="C14:G14"/>
    <mergeCell ref="D15:G15"/>
    <mergeCell ref="D16:G16"/>
    <mergeCell ref="E17:G17"/>
    <mergeCell ref="E18:G18"/>
    <mergeCell ref="E20:G20"/>
    <mergeCell ref="E21:G21"/>
    <mergeCell ref="D22:G22"/>
    <mergeCell ref="D23:G23"/>
    <mergeCell ref="D24:G24"/>
    <mergeCell ref="D25:G25"/>
    <mergeCell ref="E19:G19"/>
    <mergeCell ref="A13:B13"/>
    <mergeCell ref="D13:G13"/>
    <mergeCell ref="A2:H3"/>
    <mergeCell ref="A5:B5"/>
    <mergeCell ref="D5:G5"/>
    <mergeCell ref="A6:B10"/>
    <mergeCell ref="D6:G6"/>
    <mergeCell ref="D7:E7"/>
    <mergeCell ref="F7:G7"/>
    <mergeCell ref="D8:E8"/>
    <mergeCell ref="F8:G8"/>
    <mergeCell ref="D9:E9"/>
    <mergeCell ref="F9:G9"/>
    <mergeCell ref="A11:B11"/>
    <mergeCell ref="D11:G11"/>
  </mergeCells>
  <phoneticPr fontId="1"/>
  <pageMargins left="0.75" right="0.75" top="1" bottom="1" header="0.5" footer="0.5"/>
  <pageSetup paperSize="9" scale="9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FF00"/>
  </sheetPr>
  <dimension ref="A1:O86"/>
  <sheetViews>
    <sheetView showGridLines="0" view="pageBreakPreview" zoomScale="115" zoomScaleNormal="100" zoomScaleSheetLayoutView="115" workbookViewId="0">
      <selection activeCell="A71" sqref="A71:O77"/>
    </sheetView>
  </sheetViews>
  <sheetFormatPr defaultRowHeight="18.75"/>
  <cols>
    <col min="1" max="1" width="3.625" customWidth="1"/>
    <col min="2" max="3" width="5.625" customWidth="1"/>
    <col min="4" max="4" width="10.625" customWidth="1"/>
    <col min="5" max="5" width="3.625" customWidth="1"/>
    <col min="6" max="7" width="6.625" customWidth="1"/>
    <col min="8" max="8" width="3.625" customWidth="1"/>
    <col min="9" max="12" width="5.625" customWidth="1"/>
    <col min="13" max="13" width="3.625" customWidth="1"/>
    <col min="14" max="15" width="6.625" customWidth="1"/>
  </cols>
  <sheetData>
    <row r="1" spans="1:15" ht="35.1" customHeight="1">
      <c r="A1" s="412" t="s">
        <v>150</v>
      </c>
      <c r="B1" s="412"/>
    </row>
    <row r="2" spans="1:15" ht="22.5" customHeight="1">
      <c r="A2" s="413" t="s">
        <v>151</v>
      </c>
      <c r="B2" s="413"/>
      <c r="C2" s="323"/>
      <c r="D2" s="323"/>
      <c r="E2" s="323"/>
      <c r="F2" s="323"/>
      <c r="G2" s="323"/>
      <c r="H2" s="323"/>
      <c r="I2" s="323"/>
      <c r="J2" s="323"/>
      <c r="K2" s="323"/>
      <c r="L2" s="323"/>
      <c r="M2" s="323"/>
      <c r="N2" s="323"/>
      <c r="O2" s="323"/>
    </row>
    <row r="3" spans="1:15" ht="19.5" thickBot="1">
      <c r="A3" s="115" t="s">
        <v>152</v>
      </c>
      <c r="B3" s="115"/>
    </row>
    <row r="4" spans="1:15" ht="18.95" customHeight="1">
      <c r="A4" s="414" t="s">
        <v>153</v>
      </c>
      <c r="B4" s="415"/>
      <c r="C4" s="415"/>
      <c r="D4" s="416" t="str">
        <f>IF(AND(申請者情報入力シート!H7="",申請者情報入力シート!H8=""),申請者情報入力シート!H4&amp;IF(申請者情報入力シート!H5="","","　 "&amp;申請者情報入力シート!H5),申請者情報入力シート!H7&amp;IF(申請者情報入力シート!H8="","","　"&amp;申請者情報入力シート!H8))</f>
        <v/>
      </c>
      <c r="E4" s="416"/>
      <c r="F4" s="416"/>
      <c r="G4" s="416"/>
      <c r="H4" s="417" t="s">
        <v>154</v>
      </c>
      <c r="I4" s="417"/>
      <c r="J4" s="417"/>
      <c r="K4" s="418" t="s">
        <v>155</v>
      </c>
      <c r="L4" s="419"/>
      <c r="M4" s="419"/>
      <c r="N4" s="419"/>
      <c r="O4" s="420"/>
    </row>
    <row r="5" spans="1:15" ht="18.95" customHeight="1">
      <c r="A5" s="421" t="s">
        <v>156</v>
      </c>
      <c r="B5" s="422"/>
      <c r="C5" s="422"/>
      <c r="D5" s="423" t="str">
        <f>集計シート!B1</f>
        <v>M2</v>
      </c>
      <c r="E5" s="423"/>
      <c r="F5" s="423"/>
      <c r="G5" s="423"/>
      <c r="H5" s="424" t="s">
        <v>157</v>
      </c>
      <c r="I5" s="424"/>
      <c r="J5" s="424"/>
      <c r="K5" s="425" t="s">
        <v>158</v>
      </c>
      <c r="L5" s="426"/>
      <c r="M5" s="426"/>
      <c r="N5" s="426"/>
      <c r="O5" s="427"/>
    </row>
    <row r="6" spans="1:15" ht="18.95" customHeight="1">
      <c r="A6" s="421" t="s">
        <v>41</v>
      </c>
      <c r="B6" s="422"/>
      <c r="C6" s="422"/>
      <c r="D6" s="423">
        <f>分銅情報入力シート!E3</f>
        <v>0</v>
      </c>
      <c r="E6" s="423"/>
      <c r="F6" s="423"/>
      <c r="G6" s="423"/>
      <c r="H6" s="444" t="s">
        <v>159</v>
      </c>
      <c r="I6" s="444"/>
      <c r="J6" s="444"/>
      <c r="K6" s="433" t="str">
        <f>分銅情報入力シート!L3&amp;"部"</f>
        <v>部</v>
      </c>
      <c r="L6" s="434"/>
      <c r="M6" s="434"/>
      <c r="N6" s="434"/>
      <c r="O6" s="435"/>
    </row>
    <row r="7" spans="1:15" ht="18.95" customHeight="1" thickBot="1">
      <c r="A7" s="421" t="s">
        <v>160</v>
      </c>
      <c r="B7" s="422"/>
      <c r="C7" s="422"/>
      <c r="D7" s="423" t="str">
        <f>集計シート!C63&amp;IF(集計シート!B63=集計シート!C63,"","　～　"&amp;集計シート!B63)</f>
        <v>0mg</v>
      </c>
      <c r="E7" s="423"/>
      <c r="F7" s="423"/>
      <c r="G7" s="423"/>
      <c r="H7" s="445" t="s">
        <v>161</v>
      </c>
      <c r="I7" s="445"/>
      <c r="J7" s="445"/>
      <c r="K7" s="436"/>
      <c r="L7" s="437"/>
      <c r="M7" s="437"/>
      <c r="N7" s="437"/>
      <c r="O7" s="438"/>
    </row>
    <row r="8" spans="1:15" ht="18.95" customHeight="1" thickBot="1">
      <c r="A8" s="446" t="s">
        <v>380</v>
      </c>
      <c r="B8" s="447"/>
      <c r="C8" s="447"/>
      <c r="D8" s="448">
        <f>分銅情報入力シート!L6</f>
        <v>0</v>
      </c>
      <c r="E8" s="448"/>
      <c r="F8" s="448"/>
      <c r="G8" s="449"/>
      <c r="H8" s="409" t="s">
        <v>163</v>
      </c>
      <c r="I8" s="410"/>
      <c r="J8" s="411"/>
      <c r="K8" s="116"/>
      <c r="L8" s="428"/>
      <c r="M8" s="429"/>
      <c r="N8" s="429"/>
      <c r="O8" s="429"/>
    </row>
    <row r="9" spans="1:15" ht="15" customHeight="1">
      <c r="A9" s="117"/>
      <c r="B9" s="117"/>
    </row>
    <row r="10" spans="1:15" ht="19.5" thickBot="1">
      <c r="A10" s="115" t="s">
        <v>164</v>
      </c>
      <c r="B10" s="115"/>
    </row>
    <row r="11" spans="1:15" ht="17.100000000000001" customHeight="1">
      <c r="A11" s="118" t="s">
        <v>165</v>
      </c>
      <c r="B11" s="430" t="s">
        <v>166</v>
      </c>
      <c r="C11" s="430"/>
      <c r="D11" s="119" t="s">
        <v>167</v>
      </c>
      <c r="E11" s="120" t="s">
        <v>168</v>
      </c>
      <c r="F11" s="121" t="s">
        <v>169</v>
      </c>
      <c r="G11" s="122" t="s">
        <v>170</v>
      </c>
      <c r="H11" s="118" t="s">
        <v>165</v>
      </c>
      <c r="I11" s="431" t="s">
        <v>166</v>
      </c>
      <c r="J11" s="432"/>
      <c r="K11" s="431" t="s">
        <v>167</v>
      </c>
      <c r="L11" s="432"/>
      <c r="M11" s="120" t="s">
        <v>168</v>
      </c>
      <c r="N11" s="121" t="s">
        <v>169</v>
      </c>
      <c r="O11" s="123" t="s">
        <v>170</v>
      </c>
    </row>
    <row r="12" spans="1:15" ht="15.6" customHeight="1">
      <c r="A12" s="184">
        <v>1</v>
      </c>
      <c r="B12" s="439" t="str">
        <f>IF(集計シート!AH3="〇",集計シート!AC3&amp;"　"&amp;集計シート!AE3,"")</f>
        <v/>
      </c>
      <c r="C12" s="439"/>
      <c r="D12" s="185" t="str">
        <f>IF(集計シート!AH3="〇",集計シート!AA3&amp;集計シート!AB3,"")</f>
        <v/>
      </c>
      <c r="E12" s="186" t="str">
        <f>IF(集計シート!AH3="〇",IF(集計シート!AD3="","",集計シート!AD3),"")</f>
        <v/>
      </c>
      <c r="F12" s="124"/>
      <c r="G12" s="125"/>
      <c r="H12" s="184">
        <v>26</v>
      </c>
      <c r="I12" s="440" t="str">
        <f>IF(集計シート!AH28="〇",集計シート!AC28&amp;"　"&amp;集計シート!AE28,"")</f>
        <v/>
      </c>
      <c r="J12" s="441"/>
      <c r="K12" s="442" t="str">
        <f>IF(集計シート!AH28="〇",集計シート!AA28&amp;集計シート!AB28,"")</f>
        <v/>
      </c>
      <c r="L12" s="443"/>
      <c r="M12" s="186" t="str">
        <f>IF(集計シート!AH28="〇",IF(集計シート!AD28="","",集計シート!AD28),"")</f>
        <v/>
      </c>
      <c r="N12" s="124"/>
      <c r="O12" s="126"/>
    </row>
    <row r="13" spans="1:15" ht="15.6" customHeight="1">
      <c r="A13" s="184">
        <v>2</v>
      </c>
      <c r="B13" s="439" t="str">
        <f>IF(集計シート!AH4="〇",集計シート!AC4&amp;"　"&amp;集計シート!AE4,"")</f>
        <v/>
      </c>
      <c r="C13" s="439"/>
      <c r="D13" s="185" t="str">
        <f>IF(集計シート!AH4="〇",集計シート!AA4&amp;集計シート!AB4,"")</f>
        <v/>
      </c>
      <c r="E13" s="186" t="str">
        <f>IF(集計シート!AH4="〇",IF(集計シート!AD4="","",集計シート!AD4),"")</f>
        <v/>
      </c>
      <c r="F13" s="124"/>
      <c r="G13" s="125"/>
      <c r="H13" s="184">
        <v>27</v>
      </c>
      <c r="I13" s="440" t="str">
        <f>IF(集計シート!AH29="〇",集計シート!AC29&amp;"　"&amp;集計シート!AE29,"")</f>
        <v/>
      </c>
      <c r="J13" s="441"/>
      <c r="K13" s="442" t="str">
        <f>IF(集計シート!AH29="〇",集計シート!AA29&amp;集計シート!AB29,"")</f>
        <v/>
      </c>
      <c r="L13" s="443"/>
      <c r="M13" s="186" t="str">
        <f>IF(集計シート!AH29="〇",IF(集計シート!AD29="","",集計シート!AD29),"")</f>
        <v/>
      </c>
      <c r="N13" s="124"/>
      <c r="O13" s="126"/>
    </row>
    <row r="14" spans="1:15" ht="15.6" customHeight="1">
      <c r="A14" s="184">
        <v>3</v>
      </c>
      <c r="B14" s="439" t="str">
        <f>IF(集計シート!AH5="〇",集計シート!AC5&amp;"　"&amp;集計シート!AE5,"")</f>
        <v/>
      </c>
      <c r="C14" s="439"/>
      <c r="D14" s="185" t="str">
        <f>IF(集計シート!AH5="〇",集計シート!AA5&amp;集計シート!AB5,"")</f>
        <v/>
      </c>
      <c r="E14" s="186" t="str">
        <f>IF(集計シート!AH5="〇",IF(集計シート!AD5="","",集計シート!AD5),"")</f>
        <v/>
      </c>
      <c r="F14" s="124"/>
      <c r="G14" s="125"/>
      <c r="H14" s="184">
        <v>28</v>
      </c>
      <c r="I14" s="440" t="str">
        <f>IF(集計シート!AH30="〇",集計シート!AC30&amp;"　"&amp;集計シート!AE30,"")</f>
        <v/>
      </c>
      <c r="J14" s="441"/>
      <c r="K14" s="442" t="str">
        <f>IF(集計シート!AH30="〇",集計シート!AA30&amp;集計シート!AB30,"")</f>
        <v/>
      </c>
      <c r="L14" s="443"/>
      <c r="M14" s="186" t="str">
        <f>IF(集計シート!AH30="〇",IF(集計シート!AD30="","",集計シート!AD30),"")</f>
        <v/>
      </c>
      <c r="N14" s="124"/>
      <c r="O14" s="126"/>
    </row>
    <row r="15" spans="1:15" ht="15.6" customHeight="1">
      <c r="A15" s="184">
        <v>4</v>
      </c>
      <c r="B15" s="439" t="str">
        <f>IF(集計シート!AH6="〇",集計シート!AC6&amp;"　"&amp;集計シート!AE6,"")</f>
        <v/>
      </c>
      <c r="C15" s="439"/>
      <c r="D15" s="185" t="str">
        <f>IF(集計シート!AH6="〇",集計シート!AA6&amp;集計シート!AB6,"")</f>
        <v/>
      </c>
      <c r="E15" s="186" t="str">
        <f>IF(集計シート!AH6="〇",IF(集計シート!AD6="","",集計シート!AD6),"")</f>
        <v/>
      </c>
      <c r="F15" s="124"/>
      <c r="G15" s="125"/>
      <c r="H15" s="184">
        <v>29</v>
      </c>
      <c r="I15" s="440" t="str">
        <f>IF(集計シート!AH31="〇",集計シート!AC31&amp;"　"&amp;集計シート!AE31,"")</f>
        <v/>
      </c>
      <c r="J15" s="441"/>
      <c r="K15" s="442" t="str">
        <f>IF(集計シート!AH31="〇",集計シート!AA31&amp;集計シート!AB31,"")</f>
        <v/>
      </c>
      <c r="L15" s="443"/>
      <c r="M15" s="186" t="str">
        <f>IF(集計シート!AH31="〇",IF(集計シート!AD31="","",集計シート!AD31),"")</f>
        <v/>
      </c>
      <c r="N15" s="124"/>
      <c r="O15" s="126"/>
    </row>
    <row r="16" spans="1:15" ht="15.6" customHeight="1">
      <c r="A16" s="184">
        <v>5</v>
      </c>
      <c r="B16" s="439" t="str">
        <f>IF(集計シート!AH7="〇",集計シート!AC7&amp;"　"&amp;集計シート!AE7,"")</f>
        <v/>
      </c>
      <c r="C16" s="439"/>
      <c r="D16" s="185" t="str">
        <f>IF(集計シート!AH7="〇",集計シート!AA7&amp;集計シート!AB7,"")</f>
        <v/>
      </c>
      <c r="E16" s="186" t="str">
        <f>IF(集計シート!AH7="〇",IF(集計シート!AD7="","",集計シート!AD7),"")</f>
        <v/>
      </c>
      <c r="F16" s="124"/>
      <c r="G16" s="125"/>
      <c r="H16" s="184">
        <v>30</v>
      </c>
      <c r="I16" s="440" t="str">
        <f>IF(集計シート!AH32="〇",集計シート!AC32&amp;"　"&amp;集計シート!AE32,"")</f>
        <v/>
      </c>
      <c r="J16" s="441"/>
      <c r="K16" s="442" t="str">
        <f>IF(集計シート!AH32="〇",集計シート!AA32&amp;集計シート!AB32,"")</f>
        <v/>
      </c>
      <c r="L16" s="443"/>
      <c r="M16" s="186" t="str">
        <f>IF(集計シート!AH32="〇",IF(集計シート!AD32="","",集計シート!AD32),"")</f>
        <v/>
      </c>
      <c r="N16" s="124"/>
      <c r="O16" s="126"/>
    </row>
    <row r="17" spans="1:15" ht="15.6" customHeight="1">
      <c r="A17" s="184">
        <v>6</v>
      </c>
      <c r="B17" s="439" t="str">
        <f>IF(集計シート!AH8="〇",集計シート!AC8&amp;"　"&amp;集計シート!AE8,"")</f>
        <v/>
      </c>
      <c r="C17" s="439"/>
      <c r="D17" s="185" t="str">
        <f>IF(集計シート!AH8="〇",集計シート!AA8&amp;集計シート!AB8,"")</f>
        <v/>
      </c>
      <c r="E17" s="186" t="str">
        <f>IF(集計シート!AH8="〇",IF(集計シート!AD8="","",集計シート!AD8),"")</f>
        <v/>
      </c>
      <c r="F17" s="124"/>
      <c r="G17" s="125"/>
      <c r="H17" s="184">
        <v>31</v>
      </c>
      <c r="I17" s="440" t="str">
        <f>IF(集計シート!AH33="〇",集計シート!AC33&amp;"　"&amp;集計シート!AE33,"")</f>
        <v/>
      </c>
      <c r="J17" s="441"/>
      <c r="K17" s="442" t="str">
        <f>IF(集計シート!AH33="〇",集計シート!AA33&amp;集計シート!AB33,"")</f>
        <v/>
      </c>
      <c r="L17" s="443"/>
      <c r="M17" s="186" t="str">
        <f>IF(集計シート!AH33="〇",IF(集計シート!AD33="","",集計シート!AD33),"")</f>
        <v/>
      </c>
      <c r="N17" s="124"/>
      <c r="O17" s="126"/>
    </row>
    <row r="18" spans="1:15" ht="15.6" customHeight="1">
      <c r="A18" s="184">
        <v>7</v>
      </c>
      <c r="B18" s="439" t="str">
        <f>IF(集計シート!AH9="〇",集計シート!AC9&amp;"　"&amp;集計シート!AE9,"")</f>
        <v/>
      </c>
      <c r="C18" s="439"/>
      <c r="D18" s="185" t="str">
        <f>IF(集計シート!AH9="〇",集計シート!AA9&amp;集計シート!AB9,"")</f>
        <v/>
      </c>
      <c r="E18" s="186" t="str">
        <f>IF(集計シート!AH9="〇",IF(集計シート!AD9="","",集計シート!AD9),"")</f>
        <v/>
      </c>
      <c r="F18" s="124"/>
      <c r="G18" s="125"/>
      <c r="H18" s="184">
        <v>32</v>
      </c>
      <c r="I18" s="440" t="str">
        <f>IF(集計シート!AH34="〇",集計シート!AC34&amp;"　"&amp;集計シート!AE34,"")</f>
        <v/>
      </c>
      <c r="J18" s="441"/>
      <c r="K18" s="442" t="str">
        <f>IF(集計シート!AH34="〇",集計シート!AA34&amp;集計シート!AB34,"")</f>
        <v/>
      </c>
      <c r="L18" s="443"/>
      <c r="M18" s="186" t="str">
        <f>IF(集計シート!AH34="〇",IF(集計シート!AD34="","",集計シート!AD34),"")</f>
        <v/>
      </c>
      <c r="N18" s="124"/>
      <c r="O18" s="126"/>
    </row>
    <row r="19" spans="1:15" ht="15.6" customHeight="1">
      <c r="A19" s="184">
        <v>8</v>
      </c>
      <c r="B19" s="439" t="str">
        <f>IF(集計シート!AH10="〇",集計シート!AC10&amp;"　"&amp;集計シート!AE10,"")</f>
        <v/>
      </c>
      <c r="C19" s="439"/>
      <c r="D19" s="185" t="str">
        <f>IF(集計シート!AH10="〇",集計シート!AA10&amp;集計シート!AB10,"")</f>
        <v/>
      </c>
      <c r="E19" s="186" t="str">
        <f>IF(集計シート!AH10="〇",IF(集計シート!AD10="","",集計シート!AD10),"")</f>
        <v/>
      </c>
      <c r="F19" s="124"/>
      <c r="G19" s="125"/>
      <c r="H19" s="184">
        <v>33</v>
      </c>
      <c r="I19" s="440" t="str">
        <f>IF(集計シート!AH35="〇",集計シート!AC35&amp;"　"&amp;集計シート!AE35,"")</f>
        <v/>
      </c>
      <c r="J19" s="441"/>
      <c r="K19" s="442" t="str">
        <f>IF(集計シート!AH35="〇",集計シート!AA35&amp;集計シート!AB35,"")</f>
        <v/>
      </c>
      <c r="L19" s="443"/>
      <c r="M19" s="186" t="str">
        <f>IF(集計シート!AH35="〇",IF(集計シート!AD35="","",集計シート!AD35),"")</f>
        <v/>
      </c>
      <c r="N19" s="124"/>
      <c r="O19" s="126"/>
    </row>
    <row r="20" spans="1:15" ht="15.6" customHeight="1">
      <c r="A20" s="184">
        <v>9</v>
      </c>
      <c r="B20" s="439" t="str">
        <f>IF(集計シート!AH11="〇",集計シート!AC11&amp;"　"&amp;集計シート!AE11,"")</f>
        <v/>
      </c>
      <c r="C20" s="439"/>
      <c r="D20" s="185" t="str">
        <f>IF(集計シート!AH11="〇",集計シート!AA11&amp;集計シート!AB11,"")</f>
        <v/>
      </c>
      <c r="E20" s="186" t="str">
        <f>IF(集計シート!AH11="〇",IF(集計シート!AD11="","",集計シート!AD11),"")</f>
        <v/>
      </c>
      <c r="F20" s="124"/>
      <c r="G20" s="125"/>
      <c r="H20" s="184">
        <v>34</v>
      </c>
      <c r="I20" s="440" t="str">
        <f>IF(集計シート!AH36="〇",集計シート!AC36&amp;"　"&amp;集計シート!AE36,"")</f>
        <v/>
      </c>
      <c r="J20" s="441"/>
      <c r="K20" s="442" t="str">
        <f>IF(集計シート!AH36="〇",集計シート!AA36&amp;集計シート!AB36,"")</f>
        <v/>
      </c>
      <c r="L20" s="443"/>
      <c r="M20" s="186" t="str">
        <f>IF(集計シート!AH36="〇",IF(集計シート!AD36="","",集計シート!AD36),"")</f>
        <v/>
      </c>
      <c r="N20" s="124"/>
      <c r="O20" s="126"/>
    </row>
    <row r="21" spans="1:15" ht="15.6" customHeight="1">
      <c r="A21" s="184">
        <v>10</v>
      </c>
      <c r="B21" s="439" t="str">
        <f>IF(集計シート!AH12="〇",集計シート!AC12&amp;"　"&amp;集計シート!AE12,"")</f>
        <v/>
      </c>
      <c r="C21" s="439"/>
      <c r="D21" s="185" t="str">
        <f>IF(集計シート!AH12="〇",集計シート!AA12&amp;集計シート!AB12,"")</f>
        <v/>
      </c>
      <c r="E21" s="186" t="str">
        <f>IF(集計シート!AH12="〇",IF(集計シート!AD12="","",集計シート!AD12),"")</f>
        <v/>
      </c>
      <c r="F21" s="124"/>
      <c r="G21" s="125"/>
      <c r="H21" s="184">
        <v>35</v>
      </c>
      <c r="I21" s="440" t="str">
        <f>IF(集計シート!AH37="〇",集計シート!AC37&amp;"　"&amp;集計シート!AE37,"")</f>
        <v/>
      </c>
      <c r="J21" s="441"/>
      <c r="K21" s="442" t="str">
        <f>IF(集計シート!AH37="〇",集計シート!AA37&amp;集計シート!AB37,"")</f>
        <v/>
      </c>
      <c r="L21" s="443"/>
      <c r="M21" s="186" t="str">
        <f>IF(集計シート!AH37="〇",IF(集計シート!AD37="","",集計シート!AD37),"")</f>
        <v/>
      </c>
      <c r="N21" s="124"/>
      <c r="O21" s="126"/>
    </row>
    <row r="22" spans="1:15" ht="15.6" customHeight="1">
      <c r="A22" s="184">
        <v>11</v>
      </c>
      <c r="B22" s="439" t="str">
        <f>IF(集計シート!AH13="〇",集計シート!AC13&amp;"　"&amp;集計シート!AE13,"")</f>
        <v/>
      </c>
      <c r="C22" s="439"/>
      <c r="D22" s="185" t="str">
        <f>IF(集計シート!AH13="〇",集計シート!AA13&amp;集計シート!AB13,"")</f>
        <v/>
      </c>
      <c r="E22" s="186" t="str">
        <f>IF(集計シート!AH13="〇",IF(集計シート!AD13="","",集計シート!AD13),"")</f>
        <v/>
      </c>
      <c r="F22" s="124"/>
      <c r="G22" s="125"/>
      <c r="H22" s="184">
        <v>36</v>
      </c>
      <c r="I22" s="440" t="str">
        <f>IF(集計シート!AH38="〇",集計シート!AC38&amp;"　"&amp;集計シート!AE38,"")</f>
        <v/>
      </c>
      <c r="J22" s="441"/>
      <c r="K22" s="442" t="str">
        <f>IF(集計シート!AH38="〇",集計シート!AA38&amp;集計シート!AB38,"")</f>
        <v/>
      </c>
      <c r="L22" s="443"/>
      <c r="M22" s="186" t="str">
        <f>IF(集計シート!AH38="〇",IF(集計シート!AD38="","",集計シート!AD38),"")</f>
        <v/>
      </c>
      <c r="N22" s="124"/>
      <c r="O22" s="126"/>
    </row>
    <row r="23" spans="1:15" ht="15.6" customHeight="1">
      <c r="A23" s="184">
        <v>12</v>
      </c>
      <c r="B23" s="439" t="str">
        <f>IF(集計シート!AH14="〇",集計シート!AC14&amp;"　"&amp;集計シート!AE14,"")</f>
        <v/>
      </c>
      <c r="C23" s="439"/>
      <c r="D23" s="185" t="str">
        <f>IF(集計シート!AH14="〇",集計シート!AA14&amp;集計シート!AB14,"")</f>
        <v/>
      </c>
      <c r="E23" s="186" t="str">
        <f>IF(集計シート!AH14="〇",IF(集計シート!AD14="","",集計シート!AD14),"")</f>
        <v/>
      </c>
      <c r="F23" s="124"/>
      <c r="G23" s="125"/>
      <c r="H23" s="184">
        <v>37</v>
      </c>
      <c r="I23" s="440" t="str">
        <f>IF(集計シート!AH39="〇",集計シート!AC39&amp;"　"&amp;集計シート!AE39,"")</f>
        <v/>
      </c>
      <c r="J23" s="441"/>
      <c r="K23" s="442" t="str">
        <f>IF(集計シート!AH39="〇",集計シート!AA39&amp;集計シート!AB39,"")</f>
        <v/>
      </c>
      <c r="L23" s="443"/>
      <c r="M23" s="186" t="str">
        <f>IF(集計シート!AH39="〇",IF(集計シート!AD39="","",集計シート!AD39),"")</f>
        <v/>
      </c>
      <c r="N23" s="124"/>
      <c r="O23" s="126"/>
    </row>
    <row r="24" spans="1:15" ht="15.6" customHeight="1">
      <c r="A24" s="184">
        <v>13</v>
      </c>
      <c r="B24" s="439" t="str">
        <f>IF(集計シート!AH15="〇",集計シート!AC15&amp;"　"&amp;集計シート!AE15,"")</f>
        <v/>
      </c>
      <c r="C24" s="439"/>
      <c r="D24" s="185" t="str">
        <f>IF(集計シート!AH15="〇",集計シート!AA15&amp;集計シート!AB15,"")</f>
        <v/>
      </c>
      <c r="E24" s="186" t="str">
        <f>IF(集計シート!AH15="〇",IF(集計シート!AD15="","",集計シート!AD15),"")</f>
        <v/>
      </c>
      <c r="F24" s="124"/>
      <c r="G24" s="125"/>
      <c r="H24" s="184">
        <v>38</v>
      </c>
      <c r="I24" s="440" t="str">
        <f>IF(集計シート!AH40="〇",集計シート!AC40&amp;"　"&amp;集計シート!AE40,"")</f>
        <v/>
      </c>
      <c r="J24" s="441"/>
      <c r="K24" s="442" t="str">
        <f>IF(集計シート!AH40="〇",集計シート!AA40&amp;集計シート!AB40,"")</f>
        <v/>
      </c>
      <c r="L24" s="443"/>
      <c r="M24" s="186" t="str">
        <f>IF(集計シート!AH40="〇",IF(集計シート!AD40="","",集計シート!AD40),"")</f>
        <v/>
      </c>
      <c r="N24" s="124"/>
      <c r="O24" s="126"/>
    </row>
    <row r="25" spans="1:15" ht="15.6" customHeight="1">
      <c r="A25" s="184">
        <v>14</v>
      </c>
      <c r="B25" s="439" t="str">
        <f>IF(集計シート!AH16="〇",集計シート!AC16&amp;"　"&amp;集計シート!AE16,"")</f>
        <v/>
      </c>
      <c r="C25" s="439"/>
      <c r="D25" s="185" t="str">
        <f>IF(集計シート!AH16="〇",集計シート!AA16&amp;集計シート!AB16,"")</f>
        <v/>
      </c>
      <c r="E25" s="186" t="str">
        <f>IF(集計シート!AH16="〇",IF(集計シート!AD16="","",集計シート!AD16),"")</f>
        <v/>
      </c>
      <c r="F25" s="124"/>
      <c r="G25" s="125"/>
      <c r="H25" s="184">
        <v>39</v>
      </c>
      <c r="I25" s="440" t="str">
        <f>IF(集計シート!AH41="〇",集計シート!AC41&amp;"　"&amp;集計シート!AE41,"")</f>
        <v/>
      </c>
      <c r="J25" s="441"/>
      <c r="K25" s="442" t="str">
        <f>IF(集計シート!AH41="〇",集計シート!AA41&amp;集計シート!AB41,"")</f>
        <v/>
      </c>
      <c r="L25" s="443"/>
      <c r="M25" s="186" t="str">
        <f>IF(集計シート!AH41="〇",IF(集計シート!AD41="","",集計シート!AD41),"")</f>
        <v/>
      </c>
      <c r="N25" s="124"/>
      <c r="O25" s="126"/>
    </row>
    <row r="26" spans="1:15" ht="15.6" customHeight="1">
      <c r="A26" s="184">
        <v>15</v>
      </c>
      <c r="B26" s="439" t="str">
        <f>IF(集計シート!AH17="〇",集計シート!AC17&amp;"　"&amp;集計シート!AE17,"")</f>
        <v/>
      </c>
      <c r="C26" s="439"/>
      <c r="D26" s="185" t="str">
        <f>IF(集計シート!AH17="〇",集計シート!AA17&amp;集計シート!AB17,"")</f>
        <v/>
      </c>
      <c r="E26" s="186" t="str">
        <f>IF(集計シート!AH17="〇",IF(集計シート!AD17="","",集計シート!AD17),"")</f>
        <v/>
      </c>
      <c r="F26" s="124"/>
      <c r="G26" s="125"/>
      <c r="H26" s="184">
        <v>40</v>
      </c>
      <c r="I26" s="440" t="str">
        <f>IF(集計シート!AH42="〇",集計シート!AC42&amp;"　"&amp;集計シート!AE42,"")</f>
        <v/>
      </c>
      <c r="J26" s="441"/>
      <c r="K26" s="442" t="str">
        <f>IF(集計シート!AH42="〇",集計シート!AA42&amp;集計シート!AB42,"")</f>
        <v/>
      </c>
      <c r="L26" s="443"/>
      <c r="M26" s="186" t="str">
        <f>IF(集計シート!AH42="〇",IF(集計シート!AD42="","",集計シート!AD42),"")</f>
        <v/>
      </c>
      <c r="N26" s="124"/>
      <c r="O26" s="126"/>
    </row>
    <row r="27" spans="1:15" ht="15.6" customHeight="1">
      <c r="A27" s="184">
        <v>16</v>
      </c>
      <c r="B27" s="439" t="str">
        <f>IF(集計シート!AH18="〇",集計シート!AC18&amp;"　"&amp;集計シート!AE18,"")</f>
        <v/>
      </c>
      <c r="C27" s="439"/>
      <c r="D27" s="185" t="str">
        <f>IF(集計シート!AH18="〇",集計シート!AA18&amp;集計シート!AB18,"")</f>
        <v/>
      </c>
      <c r="E27" s="186" t="str">
        <f>IF(集計シート!AH18="〇",IF(集計シート!AD18="","",集計シート!AD18),"")</f>
        <v/>
      </c>
      <c r="F27" s="124"/>
      <c r="G27" s="125"/>
      <c r="H27" s="184">
        <v>41</v>
      </c>
      <c r="I27" s="440" t="str">
        <f>IF(集計シート!AH43="〇",集計シート!AC43&amp;"　"&amp;集計シート!AE43,"")</f>
        <v/>
      </c>
      <c r="J27" s="441"/>
      <c r="K27" s="442" t="str">
        <f>IF(集計シート!AH43="〇",集計シート!AA43&amp;集計シート!AB43,"")</f>
        <v/>
      </c>
      <c r="L27" s="443"/>
      <c r="M27" s="186" t="str">
        <f>IF(集計シート!AH43="〇",IF(集計シート!AD43="","",集計シート!AD43),"")</f>
        <v/>
      </c>
      <c r="N27" s="124"/>
      <c r="O27" s="126"/>
    </row>
    <row r="28" spans="1:15" ht="15.6" customHeight="1">
      <c r="A28" s="184">
        <v>17</v>
      </c>
      <c r="B28" s="439" t="str">
        <f>IF(集計シート!AH19="〇",集計シート!AC19&amp;"　"&amp;集計シート!AE19,"")</f>
        <v/>
      </c>
      <c r="C28" s="439"/>
      <c r="D28" s="185" t="str">
        <f>IF(集計シート!AH19="〇",集計シート!AA19&amp;集計シート!AB19,"")</f>
        <v/>
      </c>
      <c r="E28" s="186" t="str">
        <f>IF(集計シート!AH19="〇",IF(集計シート!AD19="","",集計シート!AD19),"")</f>
        <v/>
      </c>
      <c r="F28" s="124"/>
      <c r="G28" s="125"/>
      <c r="H28" s="184">
        <v>42</v>
      </c>
      <c r="I28" s="440" t="str">
        <f>IF(集計シート!AH44="〇",集計シート!AC44&amp;"　"&amp;集計シート!AE44,"")</f>
        <v/>
      </c>
      <c r="J28" s="441"/>
      <c r="K28" s="442" t="str">
        <f>IF(集計シート!AH44="〇",集計シート!AA44&amp;集計シート!AB44,"")</f>
        <v/>
      </c>
      <c r="L28" s="443"/>
      <c r="M28" s="186" t="str">
        <f>IF(集計シート!AH44="〇",IF(集計シート!AD44="","",集計シート!AD44),"")</f>
        <v/>
      </c>
      <c r="N28" s="124"/>
      <c r="O28" s="126"/>
    </row>
    <row r="29" spans="1:15" ht="15.6" customHeight="1">
      <c r="A29" s="184">
        <v>18</v>
      </c>
      <c r="B29" s="439" t="str">
        <f>IF(集計シート!AH20="〇",集計シート!AC20&amp;"　"&amp;集計シート!AE20,"")</f>
        <v/>
      </c>
      <c r="C29" s="439"/>
      <c r="D29" s="185" t="str">
        <f>IF(集計シート!AH20="〇",集計シート!AA20&amp;集計シート!AB20,"")</f>
        <v/>
      </c>
      <c r="E29" s="186" t="str">
        <f>IF(集計シート!AH20="〇",IF(集計シート!AD20="","",集計シート!AD20),"")</f>
        <v/>
      </c>
      <c r="F29" s="124"/>
      <c r="G29" s="125"/>
      <c r="H29" s="184">
        <v>43</v>
      </c>
      <c r="I29" s="440" t="str">
        <f>IF(集計シート!AH45="〇",集計シート!AC45&amp;"　"&amp;集計シート!AE45,"")</f>
        <v/>
      </c>
      <c r="J29" s="441"/>
      <c r="K29" s="442" t="str">
        <f>IF(集計シート!AH45="〇",集計シート!AA45&amp;集計シート!AB45,"")</f>
        <v/>
      </c>
      <c r="L29" s="443"/>
      <c r="M29" s="186" t="str">
        <f>IF(集計シート!AH45="〇",IF(集計シート!AD45="","",集計シート!AD45),"")</f>
        <v/>
      </c>
      <c r="N29" s="124"/>
      <c r="O29" s="126"/>
    </row>
    <row r="30" spans="1:15" ht="15.6" customHeight="1">
      <c r="A30" s="184">
        <v>19</v>
      </c>
      <c r="B30" s="439" t="str">
        <f>IF(集計シート!AH21="〇",集計シート!AC21&amp;"　"&amp;集計シート!AE21,"")</f>
        <v/>
      </c>
      <c r="C30" s="439"/>
      <c r="D30" s="185" t="str">
        <f>IF(集計シート!AH21="〇",集計シート!AA21&amp;集計シート!AB21,"")</f>
        <v/>
      </c>
      <c r="E30" s="186" t="str">
        <f>IF(集計シート!AH21="〇",IF(集計シート!AD21="","",集計シート!AD21),"")</f>
        <v/>
      </c>
      <c r="F30" s="124"/>
      <c r="G30" s="125"/>
      <c r="H30" s="184">
        <v>44</v>
      </c>
      <c r="I30" s="440" t="str">
        <f>IF(集計シート!AH46="〇",集計シート!AC46&amp;"　"&amp;集計シート!AE46,"")</f>
        <v/>
      </c>
      <c r="J30" s="441"/>
      <c r="K30" s="442" t="str">
        <f>IF(集計シート!AH46="〇",集計シート!AA46&amp;集計シート!AB46,"")</f>
        <v/>
      </c>
      <c r="L30" s="443"/>
      <c r="M30" s="186" t="str">
        <f>IF(集計シート!AH46="〇",IF(集計シート!AD46="","",集計シート!AD46),"")</f>
        <v/>
      </c>
      <c r="N30" s="124"/>
      <c r="O30" s="126"/>
    </row>
    <row r="31" spans="1:15" ht="15.6" customHeight="1">
      <c r="A31" s="184">
        <v>20</v>
      </c>
      <c r="B31" s="439" t="str">
        <f>IF(集計シート!AH22="〇",集計シート!AC22&amp;"　"&amp;集計シート!AE22,"")</f>
        <v/>
      </c>
      <c r="C31" s="439"/>
      <c r="D31" s="185" t="str">
        <f>IF(集計シート!AH22="〇",集計シート!AA22&amp;集計シート!AB22,"")</f>
        <v/>
      </c>
      <c r="E31" s="186" t="str">
        <f>IF(集計シート!AH22="〇",IF(集計シート!AD22="","",集計シート!AD22),"")</f>
        <v/>
      </c>
      <c r="F31" s="124"/>
      <c r="G31" s="125"/>
      <c r="H31" s="184">
        <v>45</v>
      </c>
      <c r="I31" s="440" t="str">
        <f>IF(集計シート!AH47="〇",集計シート!AC47&amp;"　"&amp;集計シート!AE47,"")</f>
        <v/>
      </c>
      <c r="J31" s="441"/>
      <c r="K31" s="442" t="str">
        <f>IF(集計シート!AH47="〇",集計シート!AA47&amp;集計シート!AB47,"")</f>
        <v/>
      </c>
      <c r="L31" s="443"/>
      <c r="M31" s="186" t="str">
        <f>IF(集計シート!AH47="〇",IF(集計シート!AD47="","",集計シート!AD47),"")</f>
        <v/>
      </c>
      <c r="N31" s="124"/>
      <c r="O31" s="126"/>
    </row>
    <row r="32" spans="1:15" ht="15.6" customHeight="1">
      <c r="A32" s="184">
        <v>21</v>
      </c>
      <c r="B32" s="439" t="str">
        <f>IF(集計シート!AH23="〇",集計シート!AC23&amp;"　"&amp;集計シート!AE23,"")</f>
        <v/>
      </c>
      <c r="C32" s="439"/>
      <c r="D32" s="185" t="str">
        <f>IF(集計シート!AH23="〇",集計シート!AA23&amp;集計シート!AB23,"")</f>
        <v/>
      </c>
      <c r="E32" s="186" t="str">
        <f>IF(集計シート!AH23="〇",IF(集計シート!AD23="","",集計シート!AD23),"")</f>
        <v/>
      </c>
      <c r="F32" s="124"/>
      <c r="G32" s="125"/>
      <c r="H32" s="184">
        <v>46</v>
      </c>
      <c r="I32" s="440" t="str">
        <f>IF(集計シート!AH48="〇",集計シート!AC48&amp;"　"&amp;集計シート!AE48,"")</f>
        <v/>
      </c>
      <c r="J32" s="441"/>
      <c r="K32" s="442" t="str">
        <f>IF(集計シート!AH48="〇",集計シート!AA48&amp;集計シート!AB48,"")</f>
        <v/>
      </c>
      <c r="L32" s="443"/>
      <c r="M32" s="186" t="str">
        <f>IF(集計シート!AH48="〇",IF(集計シート!AD48="","",集計シート!AD48),"")</f>
        <v/>
      </c>
      <c r="N32" s="124"/>
      <c r="O32" s="126"/>
    </row>
    <row r="33" spans="1:15" ht="15.6" customHeight="1">
      <c r="A33" s="184">
        <v>22</v>
      </c>
      <c r="B33" s="439" t="str">
        <f>IF(集計シート!AH24="〇",集計シート!AC24&amp;"　"&amp;集計シート!AE24,"")</f>
        <v/>
      </c>
      <c r="C33" s="439"/>
      <c r="D33" s="185" t="str">
        <f>IF(集計シート!AH24="〇",集計シート!AA24&amp;集計シート!AB24,"")</f>
        <v/>
      </c>
      <c r="E33" s="186" t="str">
        <f>IF(集計シート!AH24="〇",IF(集計シート!AD24="","",集計シート!AD24),"")</f>
        <v/>
      </c>
      <c r="F33" s="124"/>
      <c r="G33" s="125"/>
      <c r="H33" s="184">
        <v>47</v>
      </c>
      <c r="I33" s="440" t="str">
        <f>IF(集計シート!AH49="〇",集計シート!AC49&amp;"　"&amp;集計シート!AE49,"")</f>
        <v/>
      </c>
      <c r="J33" s="441"/>
      <c r="K33" s="442" t="str">
        <f>IF(集計シート!AH49="〇",集計シート!AA49&amp;集計シート!AB49,"")</f>
        <v/>
      </c>
      <c r="L33" s="443"/>
      <c r="M33" s="186" t="str">
        <f>IF(集計シート!AH49="〇",IF(集計シート!AD49="","",集計シート!AD49),"")</f>
        <v/>
      </c>
      <c r="N33" s="124"/>
      <c r="O33" s="126"/>
    </row>
    <row r="34" spans="1:15" ht="15.6" customHeight="1">
      <c r="A34" s="184">
        <v>23</v>
      </c>
      <c r="B34" s="439" t="str">
        <f>IF(集計シート!AH25="〇",集計シート!AC25&amp;"　"&amp;集計シート!AE25,"")</f>
        <v/>
      </c>
      <c r="C34" s="439"/>
      <c r="D34" s="185" t="str">
        <f>IF(集計シート!AH25="〇",集計シート!AA25&amp;集計シート!AB25,"")</f>
        <v/>
      </c>
      <c r="E34" s="186" t="str">
        <f>IF(集計シート!AH25="〇",IF(集計シート!AD25="","",集計シート!AD25),"")</f>
        <v/>
      </c>
      <c r="F34" s="124"/>
      <c r="G34" s="125"/>
      <c r="H34" s="184">
        <v>48</v>
      </c>
      <c r="I34" s="440" t="str">
        <f>IF(集計シート!AH50="〇",集計シート!AC50&amp;"　"&amp;集計シート!AE50,"")</f>
        <v/>
      </c>
      <c r="J34" s="441"/>
      <c r="K34" s="442" t="str">
        <f>IF(集計シート!AH50="〇",集計シート!AA50&amp;集計シート!AB50,"")</f>
        <v/>
      </c>
      <c r="L34" s="443"/>
      <c r="M34" s="186" t="str">
        <f>IF(集計シート!AH50="〇",IF(集計シート!AD50="","",集計シート!AD50),"")</f>
        <v/>
      </c>
      <c r="N34" s="124"/>
      <c r="O34" s="126"/>
    </row>
    <row r="35" spans="1:15" ht="15.6" customHeight="1">
      <c r="A35" s="184">
        <v>24</v>
      </c>
      <c r="B35" s="439" t="str">
        <f>IF(集計シート!AH26="〇",集計シート!AC26&amp;"　"&amp;集計シート!AE26,"")</f>
        <v/>
      </c>
      <c r="C35" s="439"/>
      <c r="D35" s="185" t="str">
        <f>IF(集計シート!AH26="〇",集計シート!AA26&amp;集計シート!AB26,"")</f>
        <v/>
      </c>
      <c r="E35" s="186" t="str">
        <f>IF(集計シート!AH26="〇",IF(集計シート!AD26="","",集計シート!AD26),"")</f>
        <v/>
      </c>
      <c r="F35" s="124"/>
      <c r="G35" s="125"/>
      <c r="H35" s="184">
        <v>49</v>
      </c>
      <c r="I35" s="440" t="str">
        <f>IF(集計シート!AH51="〇",集計シート!AC51&amp;"　"&amp;集計シート!AE51,"")</f>
        <v/>
      </c>
      <c r="J35" s="441"/>
      <c r="K35" s="442" t="str">
        <f>IF(集計シート!AH51="〇",集計シート!AA51&amp;集計シート!AB51,"")</f>
        <v/>
      </c>
      <c r="L35" s="443"/>
      <c r="M35" s="186" t="str">
        <f>IF(集計シート!AH51="〇",IF(集計シート!AD51="","",集計シート!AD51),"")</f>
        <v/>
      </c>
      <c r="N35" s="124"/>
      <c r="O35" s="126"/>
    </row>
    <row r="36" spans="1:15" ht="15.6" customHeight="1" thickBot="1">
      <c r="A36" s="187">
        <v>25</v>
      </c>
      <c r="B36" s="450" t="str">
        <f>IF(集計シート!AH27="〇",集計シート!AC27&amp;"　"&amp;集計シート!AE27,"")</f>
        <v/>
      </c>
      <c r="C36" s="450"/>
      <c r="D36" s="188" t="str">
        <f>IF(集計シート!AH27="〇",集計シート!AA27&amp;集計シート!AB27,"")</f>
        <v/>
      </c>
      <c r="E36" s="189" t="str">
        <f>IF(集計シート!AH27="〇",IF(集計シート!AD27="","",集計シート!AD27),"")</f>
        <v/>
      </c>
      <c r="F36" s="124"/>
      <c r="G36" s="125"/>
      <c r="H36" s="187">
        <v>50</v>
      </c>
      <c r="I36" s="451" t="str">
        <f>IF(集計シート!AH52="〇",集計シート!AC52&amp;"　"&amp;集計シート!AE52,"")</f>
        <v/>
      </c>
      <c r="J36" s="452"/>
      <c r="K36" s="453" t="str">
        <f>IF(集計シート!AH52="〇",集計シート!AA52&amp;集計シート!AB52,"")</f>
        <v/>
      </c>
      <c r="L36" s="454"/>
      <c r="M36" s="189" t="str">
        <f>IF(集計シート!AH52="〇",IF(集計シート!AD52="","",集計シート!AD52),"")</f>
        <v/>
      </c>
      <c r="N36" s="124"/>
      <c r="O36" s="126"/>
    </row>
    <row r="37" spans="1:15" ht="19.5" thickBot="1">
      <c r="A37" s="127"/>
      <c r="B37" s="127"/>
    </row>
    <row r="38" spans="1:15" ht="15.95" customHeight="1">
      <c r="A38" s="455" t="s">
        <v>171</v>
      </c>
      <c r="B38" s="458" t="s">
        <v>172</v>
      </c>
      <c r="C38" s="458"/>
      <c r="D38" s="458" t="s">
        <v>173</v>
      </c>
      <c r="E38" s="459"/>
      <c r="F38" s="128" t="s">
        <v>174</v>
      </c>
      <c r="G38" s="129" t="s">
        <v>175</v>
      </c>
      <c r="H38" s="130"/>
      <c r="I38" s="460" t="s">
        <v>176</v>
      </c>
      <c r="J38" s="460"/>
      <c r="K38" s="460"/>
      <c r="L38" s="460"/>
      <c r="M38" s="460"/>
      <c r="N38" s="460"/>
      <c r="O38" s="460"/>
    </row>
    <row r="39" spans="1:15" ht="15.95" customHeight="1">
      <c r="A39" s="456"/>
      <c r="B39" s="461"/>
      <c r="C39" s="461"/>
      <c r="D39" s="462"/>
      <c r="E39" s="463"/>
      <c r="F39" s="464"/>
      <c r="G39" s="467" t="s">
        <v>177</v>
      </c>
      <c r="H39" s="131"/>
      <c r="I39" s="469" t="s">
        <v>172</v>
      </c>
      <c r="J39" s="470" t="str">
        <f>集計シート!B103</f>
        <v/>
      </c>
      <c r="K39" s="471"/>
      <c r="L39" s="471"/>
      <c r="M39" s="471"/>
      <c r="N39" s="471"/>
      <c r="O39" s="472"/>
    </row>
    <row r="40" spans="1:15" ht="15.95" customHeight="1">
      <c r="A40" s="456"/>
      <c r="B40" s="476"/>
      <c r="C40" s="476"/>
      <c r="D40" s="476"/>
      <c r="E40" s="477"/>
      <c r="F40" s="464"/>
      <c r="G40" s="467"/>
      <c r="H40" s="131"/>
      <c r="I40" s="469"/>
      <c r="J40" s="473"/>
      <c r="K40" s="474"/>
      <c r="L40" s="474"/>
      <c r="M40" s="474"/>
      <c r="N40" s="474"/>
      <c r="O40" s="475"/>
    </row>
    <row r="41" spans="1:15" ht="15.95" customHeight="1">
      <c r="A41" s="456"/>
      <c r="B41" s="476"/>
      <c r="C41" s="476"/>
      <c r="D41" s="476"/>
      <c r="E41" s="477"/>
      <c r="F41" s="464"/>
      <c r="G41" s="467"/>
      <c r="H41" s="131"/>
      <c r="I41" s="469" t="s">
        <v>178</v>
      </c>
      <c r="J41" s="470" t="str">
        <f>集計シート!E106</f>
        <v/>
      </c>
      <c r="K41" s="471"/>
      <c r="L41" s="471"/>
      <c r="M41" s="471"/>
      <c r="N41" s="471"/>
      <c r="O41" s="472"/>
    </row>
    <row r="42" spans="1:15" ht="15.95" customHeight="1" thickBot="1">
      <c r="A42" s="457"/>
      <c r="B42" s="465"/>
      <c r="C42" s="465"/>
      <c r="D42" s="465"/>
      <c r="E42" s="466"/>
      <c r="F42" s="464"/>
      <c r="G42" s="468"/>
      <c r="H42" s="131"/>
      <c r="I42" s="469"/>
      <c r="J42" s="473"/>
      <c r="K42" s="474"/>
      <c r="L42" s="474"/>
      <c r="M42" s="474"/>
      <c r="N42" s="474"/>
      <c r="O42" s="475"/>
    </row>
    <row r="43" spans="1:15" ht="20.25" customHeight="1">
      <c r="A43" s="127"/>
      <c r="B43" s="127"/>
    </row>
    <row r="44" spans="1:15" ht="20.100000000000001" customHeight="1">
      <c r="A44" s="491" t="s">
        <v>179</v>
      </c>
      <c r="B44" s="460" t="s">
        <v>180</v>
      </c>
      <c r="C44" s="460"/>
      <c r="D44" s="132" t="s">
        <v>181</v>
      </c>
      <c r="E44" s="460" t="s">
        <v>182</v>
      </c>
      <c r="F44" s="460"/>
      <c r="G44" s="133"/>
      <c r="H44" s="492" t="s">
        <v>183</v>
      </c>
      <c r="I44" s="492"/>
      <c r="J44" s="492"/>
      <c r="K44" s="492"/>
      <c r="L44" s="134"/>
      <c r="M44" s="493" t="s">
        <v>184</v>
      </c>
      <c r="N44" s="494"/>
      <c r="O44" s="495"/>
    </row>
    <row r="45" spans="1:15" ht="20.100000000000001" customHeight="1">
      <c r="A45" s="491"/>
      <c r="B45" s="496" t="s">
        <v>185</v>
      </c>
      <c r="C45" s="496"/>
      <c r="D45" s="496" t="s">
        <v>186</v>
      </c>
      <c r="E45" s="497" t="s">
        <v>187</v>
      </c>
      <c r="F45" s="498"/>
      <c r="G45" s="503"/>
      <c r="H45" s="483"/>
      <c r="I45" s="483"/>
      <c r="J45" s="483"/>
      <c r="K45" s="483"/>
      <c r="L45" s="134"/>
      <c r="M45" s="484" t="s">
        <v>188</v>
      </c>
      <c r="N45" s="485"/>
      <c r="O45" s="486"/>
    </row>
    <row r="46" spans="1:15" ht="20.100000000000001" customHeight="1">
      <c r="A46" s="491"/>
      <c r="B46" s="496"/>
      <c r="C46" s="496"/>
      <c r="D46" s="496"/>
      <c r="E46" s="499"/>
      <c r="F46" s="500"/>
      <c r="G46" s="503"/>
      <c r="H46" s="483"/>
      <c r="I46" s="483"/>
      <c r="J46" s="483"/>
      <c r="K46" s="483"/>
      <c r="L46" s="134"/>
      <c r="M46" s="484"/>
      <c r="N46" s="485"/>
      <c r="O46" s="486"/>
    </row>
    <row r="47" spans="1:15" ht="20.100000000000001" customHeight="1">
      <c r="A47" s="491"/>
      <c r="B47" s="496"/>
      <c r="C47" s="496"/>
      <c r="D47" s="496"/>
      <c r="E47" s="501"/>
      <c r="F47" s="502"/>
      <c r="G47" s="503"/>
      <c r="H47" s="483"/>
      <c r="I47" s="483"/>
      <c r="J47" s="483"/>
      <c r="K47" s="483"/>
      <c r="L47" s="134"/>
      <c r="M47" s="484"/>
      <c r="N47" s="485"/>
      <c r="O47" s="486"/>
    </row>
    <row r="48" spans="1:15" ht="20.100000000000001" customHeight="1">
      <c r="A48" s="491"/>
      <c r="B48" s="487" t="s">
        <v>189</v>
      </c>
      <c r="C48" s="487"/>
      <c r="D48" s="135" t="s">
        <v>189</v>
      </c>
      <c r="E48" s="487" t="s">
        <v>190</v>
      </c>
      <c r="F48" s="487"/>
      <c r="G48" s="136"/>
      <c r="H48" s="483"/>
      <c r="I48" s="483"/>
      <c r="J48" s="483"/>
      <c r="K48" s="483"/>
      <c r="L48" s="137"/>
      <c r="M48" s="488" t="s">
        <v>191</v>
      </c>
      <c r="N48" s="489"/>
      <c r="O48" s="490"/>
    </row>
    <row r="49" spans="1:15" s="138" customFormat="1" ht="35.1" customHeight="1">
      <c r="A49" s="478" t="s">
        <v>192</v>
      </c>
      <c r="B49" s="478"/>
      <c r="C49" s="479"/>
      <c r="D49" s="479"/>
      <c r="E49" s="479"/>
      <c r="F49" s="479"/>
      <c r="G49" s="479"/>
      <c r="H49" s="479"/>
      <c r="I49" s="479"/>
      <c r="J49" s="479"/>
      <c r="K49" s="479"/>
      <c r="L49" s="479"/>
      <c r="M49" s="479"/>
      <c r="N49" s="479"/>
      <c r="O49" s="479"/>
    </row>
    <row r="50" spans="1:15">
      <c r="A50" s="139"/>
      <c r="B50" s="139"/>
    </row>
    <row r="51" spans="1:15">
      <c r="A51" s="480" t="s">
        <v>193</v>
      </c>
      <c r="B51" s="480"/>
      <c r="C51" s="323"/>
      <c r="D51" s="323"/>
      <c r="E51" s="323"/>
      <c r="F51" s="323"/>
      <c r="G51" s="323"/>
      <c r="H51" s="323"/>
      <c r="I51" s="323"/>
      <c r="J51" s="323"/>
      <c r="K51" s="323"/>
      <c r="L51" s="323"/>
      <c r="M51" s="323"/>
      <c r="N51" s="323"/>
      <c r="O51" s="323"/>
    </row>
    <row r="52" spans="1:15">
      <c r="A52" s="481" t="s">
        <v>194</v>
      </c>
      <c r="B52" s="481"/>
      <c r="C52" s="481"/>
      <c r="D52" s="481"/>
      <c r="E52" s="481"/>
      <c r="F52" s="481"/>
      <c r="G52" s="481"/>
      <c r="H52" s="481"/>
      <c r="I52" s="481"/>
      <c r="J52" s="481"/>
      <c r="K52" s="481"/>
      <c r="L52" s="481"/>
      <c r="M52" s="481"/>
      <c r="N52" s="481"/>
      <c r="O52" s="481"/>
    </row>
    <row r="53" spans="1:15" ht="18.75" customHeight="1">
      <c r="A53" s="140">
        <v>1</v>
      </c>
      <c r="B53" s="482" t="s">
        <v>195</v>
      </c>
      <c r="C53" s="482"/>
      <c r="D53" s="482"/>
      <c r="E53" s="482"/>
      <c r="F53" s="482"/>
      <c r="G53" s="482"/>
      <c r="H53" s="482"/>
      <c r="I53" s="482"/>
      <c r="J53" s="482"/>
      <c r="K53" s="482"/>
      <c r="L53" s="482"/>
      <c r="M53" s="482"/>
      <c r="N53" s="482"/>
      <c r="O53" s="482"/>
    </row>
    <row r="54" spans="1:15" ht="36.75" customHeight="1">
      <c r="A54" s="140">
        <v>2</v>
      </c>
      <c r="B54" s="482" t="s">
        <v>196</v>
      </c>
      <c r="C54" s="482"/>
      <c r="D54" s="482"/>
      <c r="E54" s="482"/>
      <c r="F54" s="482"/>
      <c r="G54" s="482"/>
      <c r="H54" s="482"/>
      <c r="I54" s="482"/>
      <c r="J54" s="482"/>
      <c r="K54" s="482"/>
      <c r="L54" s="482"/>
      <c r="M54" s="482"/>
      <c r="N54" s="482"/>
      <c r="O54" s="482"/>
    </row>
    <row r="55" spans="1:15" ht="37.5" customHeight="1">
      <c r="A55" s="140">
        <v>3</v>
      </c>
      <c r="B55" s="482" t="s">
        <v>197</v>
      </c>
      <c r="C55" s="482"/>
      <c r="D55" s="482"/>
      <c r="E55" s="482"/>
      <c r="F55" s="482"/>
      <c r="G55" s="482"/>
      <c r="H55" s="482"/>
      <c r="I55" s="482"/>
      <c r="J55" s="482"/>
      <c r="K55" s="482"/>
      <c r="L55" s="482"/>
      <c r="M55" s="482"/>
      <c r="N55" s="482"/>
      <c r="O55" s="482"/>
    </row>
    <row r="56" spans="1:15">
      <c r="A56" s="141"/>
      <c r="B56" s="141"/>
    </row>
    <row r="57" spans="1:15" ht="19.5" thickBot="1">
      <c r="A57" s="480" t="s">
        <v>198</v>
      </c>
      <c r="B57" s="480"/>
      <c r="C57" s="323"/>
      <c r="D57" s="323"/>
      <c r="E57" s="323"/>
      <c r="F57" s="323"/>
      <c r="G57" s="323"/>
      <c r="H57" s="323"/>
      <c r="I57" s="323"/>
      <c r="J57" s="323"/>
      <c r="K57" s="323"/>
      <c r="L57" s="323"/>
      <c r="M57" s="323"/>
      <c r="N57" s="323"/>
      <c r="O57" s="323"/>
    </row>
    <row r="58" spans="1:15" ht="18.75" customHeight="1">
      <c r="A58" s="512" t="s">
        <v>234</v>
      </c>
      <c r="B58" s="513"/>
      <c r="C58" s="513"/>
      <c r="D58" s="513"/>
      <c r="E58" s="513"/>
      <c r="F58" s="513"/>
      <c r="G58" s="513"/>
      <c r="H58" s="513"/>
      <c r="I58" s="513"/>
      <c r="J58" s="513"/>
      <c r="K58" s="513"/>
      <c r="L58" s="513"/>
      <c r="M58" s="513"/>
      <c r="N58" s="513"/>
      <c r="O58" s="514"/>
    </row>
    <row r="59" spans="1:15" ht="18.75" customHeight="1">
      <c r="A59" s="515"/>
      <c r="B59" s="516"/>
      <c r="C59" s="516"/>
      <c r="D59" s="516"/>
      <c r="E59" s="516"/>
      <c r="F59" s="516"/>
      <c r="G59" s="516"/>
      <c r="H59" s="516"/>
      <c r="I59" s="516"/>
      <c r="J59" s="516"/>
      <c r="K59" s="516"/>
      <c r="L59" s="516"/>
      <c r="M59" s="516"/>
      <c r="N59" s="516"/>
      <c r="O59" s="517"/>
    </row>
    <row r="60" spans="1:15" ht="18.75" customHeight="1">
      <c r="A60" s="515"/>
      <c r="B60" s="516"/>
      <c r="C60" s="516"/>
      <c r="D60" s="516"/>
      <c r="E60" s="516"/>
      <c r="F60" s="516"/>
      <c r="G60" s="516"/>
      <c r="H60" s="516"/>
      <c r="I60" s="516"/>
      <c r="J60" s="516"/>
      <c r="K60" s="516"/>
      <c r="L60" s="516"/>
      <c r="M60" s="516"/>
      <c r="N60" s="516"/>
      <c r="O60" s="517"/>
    </row>
    <row r="61" spans="1:15" ht="18.75" customHeight="1">
      <c r="A61" s="515"/>
      <c r="B61" s="516"/>
      <c r="C61" s="516"/>
      <c r="D61" s="516"/>
      <c r="E61" s="516"/>
      <c r="F61" s="516"/>
      <c r="G61" s="516"/>
      <c r="H61" s="516"/>
      <c r="I61" s="516"/>
      <c r="J61" s="516"/>
      <c r="K61" s="516"/>
      <c r="L61" s="516"/>
      <c r="M61" s="516"/>
      <c r="N61" s="516"/>
      <c r="O61" s="517"/>
    </row>
    <row r="62" spans="1:15" ht="18.75" customHeight="1">
      <c r="A62" s="515"/>
      <c r="B62" s="516"/>
      <c r="C62" s="516"/>
      <c r="D62" s="516"/>
      <c r="E62" s="516"/>
      <c r="F62" s="516"/>
      <c r="G62" s="516"/>
      <c r="H62" s="516"/>
      <c r="I62" s="516"/>
      <c r="J62" s="516"/>
      <c r="K62" s="516"/>
      <c r="L62" s="516"/>
      <c r="M62" s="516"/>
      <c r="N62" s="516"/>
      <c r="O62" s="517"/>
    </row>
    <row r="63" spans="1:15" ht="18.75" customHeight="1">
      <c r="A63" s="515"/>
      <c r="B63" s="516"/>
      <c r="C63" s="516"/>
      <c r="D63" s="516"/>
      <c r="E63" s="516"/>
      <c r="F63" s="516"/>
      <c r="G63" s="516"/>
      <c r="H63" s="516"/>
      <c r="I63" s="516"/>
      <c r="J63" s="516"/>
      <c r="K63" s="516"/>
      <c r="L63" s="516"/>
      <c r="M63" s="516"/>
      <c r="N63" s="516"/>
      <c r="O63" s="517"/>
    </row>
    <row r="64" spans="1:15" ht="18.75" customHeight="1">
      <c r="A64" s="515"/>
      <c r="B64" s="516"/>
      <c r="C64" s="516"/>
      <c r="D64" s="516"/>
      <c r="E64" s="516"/>
      <c r="F64" s="516"/>
      <c r="G64" s="516"/>
      <c r="H64" s="516"/>
      <c r="I64" s="516"/>
      <c r="J64" s="516"/>
      <c r="K64" s="516"/>
      <c r="L64" s="516"/>
      <c r="M64" s="516"/>
      <c r="N64" s="516"/>
      <c r="O64" s="517"/>
    </row>
    <row r="65" spans="1:15" ht="18.75" customHeight="1">
      <c r="A65" s="515"/>
      <c r="B65" s="516"/>
      <c r="C65" s="516"/>
      <c r="D65" s="516"/>
      <c r="E65" s="516"/>
      <c r="F65" s="516"/>
      <c r="G65" s="516"/>
      <c r="H65" s="516"/>
      <c r="I65" s="516"/>
      <c r="J65" s="516"/>
      <c r="K65" s="516"/>
      <c r="L65" s="516"/>
      <c r="M65" s="516"/>
      <c r="N65" s="516"/>
      <c r="O65" s="517"/>
    </row>
    <row r="66" spans="1:15" ht="18.75" customHeight="1">
      <c r="A66" s="515"/>
      <c r="B66" s="516"/>
      <c r="C66" s="516"/>
      <c r="D66" s="516"/>
      <c r="E66" s="516"/>
      <c r="F66" s="516"/>
      <c r="G66" s="516"/>
      <c r="H66" s="516"/>
      <c r="I66" s="516"/>
      <c r="J66" s="516"/>
      <c r="K66" s="516"/>
      <c r="L66" s="516"/>
      <c r="M66" s="516"/>
      <c r="N66" s="516"/>
      <c r="O66" s="517"/>
    </row>
    <row r="67" spans="1:15" ht="18.75" customHeight="1">
      <c r="A67" s="515"/>
      <c r="B67" s="516"/>
      <c r="C67" s="516"/>
      <c r="D67" s="516"/>
      <c r="E67" s="516"/>
      <c r="F67" s="516"/>
      <c r="G67" s="516"/>
      <c r="H67" s="516"/>
      <c r="I67" s="516"/>
      <c r="J67" s="516"/>
      <c r="K67" s="516"/>
      <c r="L67" s="516"/>
      <c r="M67" s="516"/>
      <c r="N67" s="516"/>
      <c r="O67" s="517"/>
    </row>
    <row r="68" spans="1:15" ht="18.75" customHeight="1" thickBot="1">
      <c r="A68" s="518"/>
      <c r="B68" s="519"/>
      <c r="C68" s="519"/>
      <c r="D68" s="519"/>
      <c r="E68" s="519"/>
      <c r="F68" s="519"/>
      <c r="G68" s="519"/>
      <c r="H68" s="519"/>
      <c r="I68" s="519"/>
      <c r="J68" s="519"/>
      <c r="K68" s="519"/>
      <c r="L68" s="519"/>
      <c r="M68" s="519"/>
      <c r="N68" s="519"/>
      <c r="O68" s="520"/>
    </row>
    <row r="69" spans="1:15" ht="19.5" thickBot="1">
      <c r="A69" s="142"/>
      <c r="B69" s="142"/>
    </row>
    <row r="70" spans="1:15" ht="30" customHeight="1" thickBot="1">
      <c r="A70" s="508" t="s">
        <v>235</v>
      </c>
      <c r="B70" s="509"/>
      <c r="C70" s="509"/>
      <c r="D70" s="509"/>
      <c r="E70" s="509"/>
      <c r="F70" s="509"/>
      <c r="G70" s="182">
        <f>分銅情報入力シート!L4</f>
        <v>0</v>
      </c>
      <c r="H70" s="178"/>
      <c r="I70" s="178"/>
      <c r="J70" s="178"/>
      <c r="K70" s="178" t="s">
        <v>16</v>
      </c>
      <c r="L70" s="178"/>
      <c r="M70" s="178"/>
      <c r="N70" s="178"/>
      <c r="O70" s="179"/>
    </row>
    <row r="71" spans="1:15" ht="18.75" customHeight="1" thickBot="1">
      <c r="A71" s="521" t="s">
        <v>199</v>
      </c>
      <c r="B71" s="522"/>
      <c r="C71" s="522"/>
      <c r="D71" s="522"/>
      <c r="E71" s="522"/>
      <c r="F71" s="522"/>
      <c r="G71" s="522"/>
      <c r="H71" s="522"/>
      <c r="I71" s="522"/>
      <c r="J71" s="522"/>
      <c r="K71" s="522"/>
      <c r="L71" s="522"/>
      <c r="M71" s="522"/>
      <c r="N71" s="522"/>
      <c r="O71" s="523"/>
    </row>
    <row r="72" spans="1:15" ht="18.75" customHeight="1" thickBot="1">
      <c r="A72" s="521"/>
      <c r="B72" s="522"/>
      <c r="C72" s="522"/>
      <c r="D72" s="522"/>
      <c r="E72" s="522"/>
      <c r="F72" s="522"/>
      <c r="G72" s="522"/>
      <c r="H72" s="522"/>
      <c r="I72" s="522"/>
      <c r="J72" s="522"/>
      <c r="K72" s="522"/>
      <c r="L72" s="522"/>
      <c r="M72" s="522"/>
      <c r="N72" s="522"/>
      <c r="O72" s="523"/>
    </row>
    <row r="73" spans="1:15" ht="18.75" customHeight="1" thickBot="1">
      <c r="A73" s="521"/>
      <c r="B73" s="522"/>
      <c r="C73" s="522"/>
      <c r="D73" s="522"/>
      <c r="E73" s="522"/>
      <c r="F73" s="522"/>
      <c r="G73" s="522"/>
      <c r="H73" s="522"/>
      <c r="I73" s="522"/>
      <c r="J73" s="522"/>
      <c r="K73" s="522"/>
      <c r="L73" s="522"/>
      <c r="M73" s="522"/>
      <c r="N73" s="522"/>
      <c r="O73" s="523"/>
    </row>
    <row r="74" spans="1:15" ht="18.75" customHeight="1" thickBot="1">
      <c r="A74" s="521"/>
      <c r="B74" s="522"/>
      <c r="C74" s="522"/>
      <c r="D74" s="522"/>
      <c r="E74" s="522"/>
      <c r="F74" s="522"/>
      <c r="G74" s="522"/>
      <c r="H74" s="522"/>
      <c r="I74" s="522"/>
      <c r="J74" s="522"/>
      <c r="K74" s="522"/>
      <c r="L74" s="522"/>
      <c r="M74" s="522"/>
      <c r="N74" s="522"/>
      <c r="O74" s="523"/>
    </row>
    <row r="75" spans="1:15" ht="18.75" customHeight="1" thickBot="1">
      <c r="A75" s="521"/>
      <c r="B75" s="522"/>
      <c r="C75" s="522"/>
      <c r="D75" s="522"/>
      <c r="E75" s="522"/>
      <c r="F75" s="522"/>
      <c r="G75" s="522"/>
      <c r="H75" s="522"/>
      <c r="I75" s="522"/>
      <c r="J75" s="522"/>
      <c r="K75" s="522"/>
      <c r="L75" s="522"/>
      <c r="M75" s="522"/>
      <c r="N75" s="522"/>
      <c r="O75" s="523"/>
    </row>
    <row r="76" spans="1:15" ht="18.75" customHeight="1" thickBot="1">
      <c r="A76" s="521"/>
      <c r="B76" s="522"/>
      <c r="C76" s="522"/>
      <c r="D76" s="522"/>
      <c r="E76" s="522"/>
      <c r="F76" s="522"/>
      <c r="G76" s="522"/>
      <c r="H76" s="522"/>
      <c r="I76" s="522"/>
      <c r="J76" s="522"/>
      <c r="K76" s="522"/>
      <c r="L76" s="522"/>
      <c r="M76" s="522"/>
      <c r="N76" s="522"/>
      <c r="O76" s="523"/>
    </row>
    <row r="77" spans="1:15" ht="18.75" customHeight="1" thickBot="1">
      <c r="A77" s="521"/>
      <c r="B77" s="522"/>
      <c r="C77" s="522"/>
      <c r="D77" s="522"/>
      <c r="E77" s="522"/>
      <c r="F77" s="522"/>
      <c r="G77" s="522"/>
      <c r="H77" s="522"/>
      <c r="I77" s="522"/>
      <c r="J77" s="522"/>
      <c r="K77" s="522"/>
      <c r="L77" s="522"/>
      <c r="M77" s="522"/>
      <c r="N77" s="522"/>
      <c r="O77" s="523"/>
    </row>
    <row r="78" spans="1:15">
      <c r="A78" s="143"/>
      <c r="B78" s="143"/>
    </row>
    <row r="79" spans="1:15" ht="19.5" thickBot="1">
      <c r="A79" s="480" t="s">
        <v>200</v>
      </c>
      <c r="B79" s="524"/>
      <c r="C79" s="323"/>
      <c r="D79" s="323"/>
      <c r="E79" s="323"/>
      <c r="F79" s="323"/>
      <c r="G79" s="323"/>
      <c r="H79" s="323"/>
      <c r="I79" s="323"/>
      <c r="J79" s="323"/>
      <c r="K79" s="323"/>
      <c r="L79" s="323"/>
      <c r="M79" s="323"/>
      <c r="N79" s="323"/>
      <c r="O79" s="323"/>
    </row>
    <row r="80" spans="1:15" ht="27.4" customHeight="1" thickBot="1">
      <c r="A80" s="510" t="s">
        <v>236</v>
      </c>
      <c r="B80" s="511"/>
      <c r="C80" s="511"/>
      <c r="D80" s="511"/>
      <c r="E80" s="511"/>
      <c r="F80" s="511"/>
      <c r="G80" s="183">
        <f>分銅情報入力シート!L5</f>
        <v>0</v>
      </c>
      <c r="H80" s="180"/>
      <c r="I80" s="180"/>
      <c r="J80" s="180"/>
      <c r="K80" s="180" t="s">
        <v>16</v>
      </c>
      <c r="L80" s="180"/>
      <c r="M80" s="180"/>
      <c r="N80" s="180"/>
      <c r="O80" s="181"/>
    </row>
    <row r="81" spans="1:15">
      <c r="A81" s="144"/>
      <c r="B81" s="144"/>
    </row>
    <row r="82" spans="1:15" ht="19.5" thickBot="1">
      <c r="A82" s="144"/>
      <c r="B82" s="144"/>
    </row>
    <row r="83" spans="1:15" ht="19.350000000000001" customHeight="1">
      <c r="A83" s="504" t="s">
        <v>201</v>
      </c>
      <c r="B83" s="504"/>
      <c r="C83" s="504"/>
      <c r="D83" s="504"/>
      <c r="E83" s="505"/>
      <c r="F83" s="505"/>
      <c r="G83" s="505"/>
      <c r="H83" s="505"/>
      <c r="I83" s="505"/>
      <c r="J83" s="505"/>
      <c r="K83" s="505"/>
      <c r="L83" s="505"/>
      <c r="M83" s="505"/>
      <c r="N83" s="505"/>
      <c r="O83" s="505"/>
    </row>
    <row r="84" spans="1:15" ht="19.350000000000001" customHeight="1" thickBot="1">
      <c r="A84" s="507" t="s">
        <v>202</v>
      </c>
      <c r="B84" s="507"/>
      <c r="C84" s="507"/>
      <c r="D84" s="507"/>
      <c r="E84" s="506"/>
      <c r="F84" s="506"/>
      <c r="G84" s="506"/>
      <c r="H84" s="506"/>
      <c r="I84" s="506"/>
      <c r="J84" s="506"/>
      <c r="K84" s="506"/>
      <c r="L84" s="506"/>
      <c r="M84" s="506"/>
      <c r="N84" s="506"/>
      <c r="O84" s="506"/>
    </row>
    <row r="85" spans="1:15">
      <c r="A85" s="144"/>
      <c r="B85" s="144"/>
    </row>
    <row r="86" spans="1:15">
      <c r="A86" s="145"/>
      <c r="B86" s="145"/>
    </row>
  </sheetData>
  <sheetProtection algorithmName="SHA-512" hashValue="SFC6deLt5/vD04ZtTr0glvR2wLXKVeTvdmoneJfWbbaK1BneWkhLSNPgNFQAw/UAH4v7nWGA/XH7Njta8DV61g==" saltValue="mjA9aM4yebCDa+GaWzyMeA==" spinCount="100000" sheet="1" objects="1" scenarios="1" selectLockedCells="1"/>
  <mergeCells count="149">
    <mergeCell ref="A83:D83"/>
    <mergeCell ref="E83:O84"/>
    <mergeCell ref="A84:D84"/>
    <mergeCell ref="A70:F70"/>
    <mergeCell ref="A80:F80"/>
    <mergeCell ref="A57:O57"/>
    <mergeCell ref="A58:O68"/>
    <mergeCell ref="A71:O77"/>
    <mergeCell ref="A79:O79"/>
    <mergeCell ref="A49:O49"/>
    <mergeCell ref="A51:O51"/>
    <mergeCell ref="A52:O52"/>
    <mergeCell ref="B53:O53"/>
    <mergeCell ref="B54:O54"/>
    <mergeCell ref="B55:O55"/>
    <mergeCell ref="H45:K45"/>
    <mergeCell ref="M45:O47"/>
    <mergeCell ref="H46:K46"/>
    <mergeCell ref="H47:K47"/>
    <mergeCell ref="B48:C48"/>
    <mergeCell ref="E48:F48"/>
    <mergeCell ref="H48:K48"/>
    <mergeCell ref="M48:O48"/>
    <mergeCell ref="A44:A48"/>
    <mergeCell ref="B44:C44"/>
    <mergeCell ref="E44:F44"/>
    <mergeCell ref="H44:K44"/>
    <mergeCell ref="M44:O44"/>
    <mergeCell ref="B45:C47"/>
    <mergeCell ref="D45:D47"/>
    <mergeCell ref="E45:F47"/>
    <mergeCell ref="G45:G47"/>
    <mergeCell ref="B36:C36"/>
    <mergeCell ref="I36:J36"/>
    <mergeCell ref="K36:L36"/>
    <mergeCell ref="A38:A42"/>
    <mergeCell ref="B38:C38"/>
    <mergeCell ref="D38:E38"/>
    <mergeCell ref="I38:O38"/>
    <mergeCell ref="B39:C39"/>
    <mergeCell ref="D39:E39"/>
    <mergeCell ref="F39:F42"/>
    <mergeCell ref="D42:E42"/>
    <mergeCell ref="G39:G42"/>
    <mergeCell ref="I39:I40"/>
    <mergeCell ref="J39:O40"/>
    <mergeCell ref="B40:C40"/>
    <mergeCell ref="D40:E40"/>
    <mergeCell ref="B41:C41"/>
    <mergeCell ref="D41:E41"/>
    <mergeCell ref="I41:I42"/>
    <mergeCell ref="J41:O42"/>
    <mergeCell ref="B42:C42"/>
    <mergeCell ref="B34:C34"/>
    <mergeCell ref="I34:J34"/>
    <mergeCell ref="K34:L34"/>
    <mergeCell ref="B35:C35"/>
    <mergeCell ref="I35:J35"/>
    <mergeCell ref="K35:L35"/>
    <mergeCell ref="B32:C32"/>
    <mergeCell ref="I32:J32"/>
    <mergeCell ref="K32:L32"/>
    <mergeCell ref="B33:C33"/>
    <mergeCell ref="I33:J33"/>
    <mergeCell ref="K33:L33"/>
    <mergeCell ref="B30:C30"/>
    <mergeCell ref="I30:J30"/>
    <mergeCell ref="K30:L30"/>
    <mergeCell ref="B31:C31"/>
    <mergeCell ref="I31:J31"/>
    <mergeCell ref="K31:L31"/>
    <mergeCell ref="B28:C28"/>
    <mergeCell ref="I28:J28"/>
    <mergeCell ref="K28:L28"/>
    <mergeCell ref="B29:C29"/>
    <mergeCell ref="I29:J29"/>
    <mergeCell ref="K29:L29"/>
    <mergeCell ref="B26:C26"/>
    <mergeCell ref="I26:J26"/>
    <mergeCell ref="K26:L26"/>
    <mergeCell ref="B27:C27"/>
    <mergeCell ref="I27:J27"/>
    <mergeCell ref="K27:L27"/>
    <mergeCell ref="B24:C24"/>
    <mergeCell ref="I24:J24"/>
    <mergeCell ref="K24:L24"/>
    <mergeCell ref="B25:C25"/>
    <mergeCell ref="I25:J25"/>
    <mergeCell ref="K25:L25"/>
    <mergeCell ref="B22:C22"/>
    <mergeCell ref="I22:J22"/>
    <mergeCell ref="K22:L22"/>
    <mergeCell ref="B23:C23"/>
    <mergeCell ref="I23:J23"/>
    <mergeCell ref="K23:L23"/>
    <mergeCell ref="B20:C20"/>
    <mergeCell ref="I20:J20"/>
    <mergeCell ref="K20:L20"/>
    <mergeCell ref="B21:C21"/>
    <mergeCell ref="I21:J21"/>
    <mergeCell ref="K21:L21"/>
    <mergeCell ref="B18:C18"/>
    <mergeCell ref="I18:J18"/>
    <mergeCell ref="K18:L18"/>
    <mergeCell ref="B19:C19"/>
    <mergeCell ref="I19:J19"/>
    <mergeCell ref="K19:L19"/>
    <mergeCell ref="B16:C16"/>
    <mergeCell ref="I16:J16"/>
    <mergeCell ref="K16:L16"/>
    <mergeCell ref="B17:C17"/>
    <mergeCell ref="I17:J17"/>
    <mergeCell ref="K17:L17"/>
    <mergeCell ref="B11:C11"/>
    <mergeCell ref="I11:J11"/>
    <mergeCell ref="K11:L11"/>
    <mergeCell ref="K6:O7"/>
    <mergeCell ref="B14:C14"/>
    <mergeCell ref="I14:J14"/>
    <mergeCell ref="K14:L14"/>
    <mergeCell ref="B15:C15"/>
    <mergeCell ref="I15:J15"/>
    <mergeCell ref="K15:L15"/>
    <mergeCell ref="B12:C12"/>
    <mergeCell ref="I12:J12"/>
    <mergeCell ref="K12:L12"/>
    <mergeCell ref="B13:C13"/>
    <mergeCell ref="I13:J13"/>
    <mergeCell ref="K13:L13"/>
    <mergeCell ref="A6:C6"/>
    <mergeCell ref="D6:G6"/>
    <mergeCell ref="H6:J6"/>
    <mergeCell ref="A7:C7"/>
    <mergeCell ref="D7:G7"/>
    <mergeCell ref="H7:J7"/>
    <mergeCell ref="A8:C8"/>
    <mergeCell ref="D8:G8"/>
    <mergeCell ref="H8:J8"/>
    <mergeCell ref="A1:B1"/>
    <mergeCell ref="A2:O2"/>
    <mergeCell ref="A4:C4"/>
    <mergeCell ref="D4:G4"/>
    <mergeCell ref="H4:J4"/>
    <mergeCell ref="K4:O4"/>
    <mergeCell ref="A5:C5"/>
    <mergeCell ref="D5:G5"/>
    <mergeCell ref="H5:J5"/>
    <mergeCell ref="K5:O5"/>
    <mergeCell ref="L8:O8"/>
  </mergeCells>
  <phoneticPr fontId="1"/>
  <printOptions horizontalCentered="1"/>
  <pageMargins left="0.74803149606299213" right="0.74803149606299213" top="0.98425196850393704" bottom="0.98425196850393704" header="0.51181102362204722" footer="0.51181102362204722"/>
  <pageSetup paperSize="9" scale="85" orientation="portrait" r:id="rId1"/>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10</vt:i4>
      </vt:variant>
    </vt:vector>
  </HeadingPairs>
  <TitlesOfParts>
    <vt:vector size="10" baseType="lpstr">
      <vt:lpstr>申請者情報入力シート</vt:lpstr>
      <vt:lpstr>分銅情報入力シート</vt:lpstr>
      <vt:lpstr>料金</vt:lpstr>
      <vt:lpstr>集計シート</vt:lpstr>
      <vt:lpstr>入力フォーム</vt:lpstr>
      <vt:lpstr>JCSS_校正申請書</vt:lpstr>
      <vt:lpstr>JCSS_交付申請書</vt:lpstr>
      <vt:lpstr>JCSS_校正仕様確認書</vt:lpstr>
      <vt:lpstr>JCSS_校正依頼分銅確認表</vt:lpstr>
      <vt:lpstr>JCSS_校正依頼分銅確認表 (51-100)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2025-03-21T00:57:17Z</cp:lastPrinted>
  <dcterms:created xsi:type="dcterms:W3CDTF">2020-11-18T02:15:22Z</dcterms:created>
  <dcterms:modified xsi:type="dcterms:W3CDTF">2026-03-25T23:46:49Z</dcterms:modified>
</cp:coreProperties>
</file>